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tabRatio="651" firstSheet="1" activeTab="1"/>
  </bookViews>
  <sheets>
    <sheet name="índice lucrat." sheetId="1" r:id="rId1"/>
    <sheet name="produção" sheetId="2" r:id="rId2"/>
    <sheet name="implantaçãomanutenção" sheetId="3" r:id="rId3"/>
    <sheet name="fluxo_caixa" sheetId="4" r:id="rId4"/>
    <sheet name="ind.lucrat" sheetId="5" r:id="rId5"/>
  </sheets>
  <definedNames/>
  <calcPr fullCalcOnLoad="1"/>
</workbook>
</file>

<file path=xl/sharedStrings.xml><?xml version="1.0" encoding="utf-8"?>
<sst xmlns="http://schemas.openxmlformats.org/spreadsheetml/2006/main" count="233" uniqueCount="152">
  <si>
    <t>DESCRIÇÃO</t>
  </si>
  <si>
    <t>ESPECIFICAÇÃO</t>
  </si>
  <si>
    <t>V.U.</t>
  </si>
  <si>
    <t>Ano 1</t>
  </si>
  <si>
    <t>Ano 2</t>
  </si>
  <si>
    <t>Ano 3</t>
  </si>
  <si>
    <t>Qtde.</t>
  </si>
  <si>
    <t>Valor</t>
  </si>
  <si>
    <t>A. OPERAÇÕES MECANIZADAS</t>
  </si>
  <si>
    <t>a1. Preparo do solo</t>
  </si>
  <si>
    <t>Gradagem Niveladora (1x)</t>
  </si>
  <si>
    <t>Subtotal A</t>
  </si>
  <si>
    <t>B - OPERAÇÕES MANUAIS</t>
  </si>
  <si>
    <t>b1. Implantação</t>
  </si>
  <si>
    <t>HD</t>
  </si>
  <si>
    <t>b2. Tratos Culturais</t>
  </si>
  <si>
    <t>Subtotal B</t>
  </si>
  <si>
    <t>kg</t>
  </si>
  <si>
    <t>unidades</t>
  </si>
  <si>
    <t>Subtotal C</t>
  </si>
  <si>
    <t>Custo operacional efetivo (C.O.E)</t>
  </si>
  <si>
    <t>Outras despesas (5%)</t>
  </si>
  <si>
    <t>Custo operacional total (C.O.T)</t>
  </si>
  <si>
    <t>Implantação</t>
  </si>
  <si>
    <t>HM</t>
  </si>
  <si>
    <t xml:space="preserve">Irrigação </t>
  </si>
  <si>
    <t>COT (R$)</t>
  </si>
  <si>
    <t>C -  MATERIAL</t>
  </si>
  <si>
    <t>Abertura das covas</t>
  </si>
  <si>
    <t>Ano</t>
  </si>
  <si>
    <t>1000 plantas</t>
  </si>
  <si>
    <t>666 plantas</t>
  </si>
  <si>
    <t>caixas</t>
  </si>
  <si>
    <t>produção total</t>
  </si>
  <si>
    <t>5 kg</t>
  </si>
  <si>
    <t>média</t>
  </si>
  <si>
    <t>Juros de custeio</t>
  </si>
  <si>
    <t>Itens</t>
  </si>
  <si>
    <t>3 Ano</t>
  </si>
  <si>
    <t>Valor unit.1 (R$/Kg)</t>
  </si>
  <si>
    <t>Produtividade (Kg)</t>
  </si>
  <si>
    <t>Receita Bruta (R$)</t>
  </si>
  <si>
    <t>Lucro Operac. (R$)</t>
  </si>
  <si>
    <t>Índ. Lucrat. (%)</t>
  </si>
  <si>
    <t>Prod. de equilíbrio</t>
  </si>
  <si>
    <t>Custo total de prod.</t>
  </si>
  <si>
    <t>Receita líquida</t>
  </si>
  <si>
    <t>4 Ano</t>
  </si>
  <si>
    <t>5 Ano</t>
  </si>
  <si>
    <t>6 Ano</t>
  </si>
  <si>
    <t>7 Ano</t>
  </si>
  <si>
    <t>8 Ano</t>
  </si>
  <si>
    <t>Ítem</t>
  </si>
  <si>
    <t>Irrigação</t>
  </si>
  <si>
    <t>Sub total</t>
  </si>
  <si>
    <t>VPL</t>
  </si>
  <si>
    <t>TIR</t>
  </si>
  <si>
    <t>Pay Back</t>
  </si>
  <si>
    <t xml:space="preserve">Preço de equilíbrio </t>
  </si>
  <si>
    <t>Gradagem Pesada (2x)</t>
  </si>
  <si>
    <t>Adubação orgânica nas covas</t>
  </si>
  <si>
    <t>Adubação mineral nas covas</t>
  </si>
  <si>
    <t>Plantio e replantio</t>
  </si>
  <si>
    <t>Alinhamento de covas</t>
  </si>
  <si>
    <t xml:space="preserve">Cobertura Morta </t>
  </si>
  <si>
    <t>Poda/Calciocianamida</t>
  </si>
  <si>
    <t>Adubação de formação (3x)</t>
  </si>
  <si>
    <t>Adubação de produção (6x) + (6x)</t>
  </si>
  <si>
    <t xml:space="preserve">Adubação orgânica </t>
  </si>
  <si>
    <t>Colheita/Classificação/Embalagem</t>
  </si>
  <si>
    <t>T</t>
  </si>
  <si>
    <t>Colonião/Napier/palha de feijão</t>
  </si>
  <si>
    <t>Superfosfato Simples</t>
  </si>
  <si>
    <t>Kg</t>
  </si>
  <si>
    <t>sulfato de cobre</t>
  </si>
  <si>
    <t>Espalhante adesivo</t>
  </si>
  <si>
    <t>Inseticida</t>
  </si>
  <si>
    <t>óleo mineral</t>
  </si>
  <si>
    <t>L</t>
  </si>
  <si>
    <t>Cal Virgem</t>
  </si>
  <si>
    <t>Caixas de 1,8 Kg</t>
  </si>
  <si>
    <t>unid.</t>
  </si>
  <si>
    <t>Custo por planta</t>
  </si>
  <si>
    <t>Depreciação dos equip. de irrig</t>
  </si>
  <si>
    <t>Pulverizações (15x)</t>
  </si>
  <si>
    <t>Esterco de Curral</t>
  </si>
  <si>
    <t>açucar cristal</t>
  </si>
  <si>
    <t>Panelas (2 panelas)</t>
  </si>
  <si>
    <t xml:space="preserve">Peagametro </t>
  </si>
  <si>
    <t>termômetro</t>
  </si>
  <si>
    <t>refratômetro</t>
  </si>
  <si>
    <t>A. OPERAÇÕES MANUAIS</t>
  </si>
  <si>
    <t xml:space="preserve">Processamento do figo </t>
  </si>
  <si>
    <t xml:space="preserve">HD </t>
  </si>
  <si>
    <t>B - MATERIAL</t>
  </si>
  <si>
    <t xml:space="preserve">b1. Embalagens </t>
  </si>
  <si>
    <t xml:space="preserve">vidros </t>
  </si>
  <si>
    <t>tampas</t>
  </si>
  <si>
    <t>ácido citrico</t>
  </si>
  <si>
    <t>Gás de cozinha</t>
  </si>
  <si>
    <t>botijão de 45 Kg</t>
  </si>
  <si>
    <t xml:space="preserve">fogão </t>
  </si>
  <si>
    <t>Cozinha (sala)</t>
  </si>
  <si>
    <t>Custo por vidro</t>
  </si>
  <si>
    <t>DEPRECIAÇÃO DOS EQUIP.(20%)</t>
  </si>
  <si>
    <t>Ano 4 a 15</t>
  </si>
  <si>
    <t>figo (1 ano)</t>
  </si>
  <si>
    <t xml:space="preserve"> Investimento</t>
  </si>
  <si>
    <t>Custo operacional</t>
  </si>
  <si>
    <t>Total (1+2)</t>
  </si>
  <si>
    <t>1-Saídas</t>
  </si>
  <si>
    <t>2- Receita bruta</t>
  </si>
  <si>
    <t>3- Fluxo líquido anual</t>
  </si>
  <si>
    <t>4- Fluxo líquido acum.</t>
  </si>
  <si>
    <t>b3. Outros</t>
  </si>
  <si>
    <t>b2. Materia prima</t>
  </si>
  <si>
    <t>figos verdes</t>
  </si>
  <si>
    <t>Materia prima</t>
  </si>
  <si>
    <t>peagametro*</t>
  </si>
  <si>
    <t xml:space="preserve">termometro* </t>
  </si>
  <si>
    <t>refratômetro*</t>
  </si>
  <si>
    <t>panelas*</t>
  </si>
  <si>
    <t>fogão*</t>
  </si>
  <si>
    <t>Cozinha*</t>
  </si>
  <si>
    <t xml:space="preserve">* 20% do gasto </t>
  </si>
  <si>
    <t>figo (Indust.)</t>
  </si>
  <si>
    <t xml:space="preserve"> Tabela 2: Custo operacional de industrialização de 0,09 há de Cultura da figueira ( 70% dos frutos para industrialização ) no município de Castilho/SP, em R$, Abril de 2001.</t>
  </si>
  <si>
    <t>Custo por kg de figo para mesa</t>
  </si>
  <si>
    <t xml:space="preserve">Custo por kg de figo </t>
  </si>
  <si>
    <t>Custo por kg de figo para industria</t>
  </si>
  <si>
    <t>TABELA 1 - Custo operacional total de implantação e formação de 0,09 ha da cultura da figueira no Assentamento Timbore, municipio de Castilho/SP, abril de 2001.</t>
  </si>
  <si>
    <t>TABELA 03 - Fluxo de Caixa,  Valor  Presente  Líquido,  Taxa  Interna  de Retorno  e  Pay Back referente à produção de figo, em 0,09 ha, no Assentamento Timboré, Município de Castilho/SP.</t>
  </si>
  <si>
    <t>TABELA 04 - Fluxo de Caixa, Valor  Presente Líquido, Taxa Interna de Retorno e Pay Back referente à industrializacao de figo, 70% da producao de 0,09 ha, no Assentamento Timboré, Município de Castilho/SP.</t>
  </si>
  <si>
    <t>1 Ano</t>
  </si>
  <si>
    <t>2 Ano</t>
  </si>
  <si>
    <t>Valor unit. para industria (R$/Kg)</t>
  </si>
  <si>
    <t>Valor unit. para mesa (R$/Kg)</t>
  </si>
  <si>
    <t>Produtividade  para mesa (Kg)</t>
  </si>
  <si>
    <t>Produtividade  para  industria(Kg)</t>
  </si>
  <si>
    <t>Receita Bruta  industria (R$)</t>
  </si>
  <si>
    <t>Receita Bruta  mesa (R$)</t>
  </si>
  <si>
    <t>Receita Bruta Total</t>
  </si>
  <si>
    <t>Preço de equilíbrio mesa</t>
  </si>
  <si>
    <t>Preço de equilíbrio industria</t>
  </si>
  <si>
    <t>Prod. de equilíbrio industria</t>
  </si>
  <si>
    <t>Prod. de equilíbrio mesa</t>
  </si>
  <si>
    <t>Valor unit. /vidro</t>
  </si>
  <si>
    <t>Capacidade de produção</t>
  </si>
  <si>
    <t xml:space="preserve">Tabela 5 - Indices de lucratividade de 0,09 há da cultura da figueira (mesa e industria), em Castilho/SP, abril de 2001. </t>
  </si>
  <si>
    <t xml:space="preserve">Tabela 6 - Indices de lucratividade da industrialização de figos verdes, em Castilho/SP, abril de 2001. </t>
  </si>
  <si>
    <t>4 -15 Ano</t>
  </si>
  <si>
    <t>4 - 15 Ano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</si>
</sst>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&quot;#,##0;\-&quot;R$&quot;#,##0"/>
    <numFmt numFmtId="177" formatCode="&quot;R$&quot;#,##0;[Red]\-&quot;R$&quot;#,##0"/>
    <numFmt numFmtId="178" formatCode="&quot;R$&quot;#,##0.00;\-&quot;R$&quot;#,##0.00"/>
    <numFmt numFmtId="179" formatCode="&quot;R$&quot;#,##0.00;[Red]\-&quot;R$&quot;#,##0.00"/>
    <numFmt numFmtId="180" formatCode="_-&quot;R$&quot;* #,##0_-;\-&quot;R$&quot;* #,##0_-;_-&quot;R$&quot;* &quot;-&quot;_-;_-@_-"/>
    <numFmt numFmtId="181" formatCode="_-* #,##0_-;\-* #,##0_-;_-* &quot;-&quot;_-;_-@_-"/>
    <numFmt numFmtId="182" formatCode="_-&quot;R$&quot;* #,##0.00_-;\-&quot;R$&quot;* #,##0.00_-;_-&quot;R$&quot;* &quot;-&quot;??_-;_-@_-"/>
    <numFmt numFmtId="183" formatCode="_-* #,##0.00_-;\-* #,##0.00_-;_-* &quot;-&quot;??_-;_-@_-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"/>
    <numFmt numFmtId="191" formatCode="0.000000000"/>
    <numFmt numFmtId="192" formatCode="0.00000000"/>
    <numFmt numFmtId="193" formatCode="#,##0.00;[Red]#,##0.00"/>
    <numFmt numFmtId="194" formatCode="0.0%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10"/>
      <color indexed="50"/>
      <name val="Times New Roman"/>
      <family val="1"/>
    </font>
    <font>
      <b/>
      <sz val="10"/>
      <color indexed="5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color indexed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9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50" applyNumberFormat="1" applyFont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36" borderId="11" xfId="0" applyFont="1" applyFill="1" applyBorder="1" applyAlignment="1">
      <alignment horizontal="left"/>
    </xf>
    <xf numFmtId="0" fontId="12" fillId="36" borderId="11" xfId="0" applyFont="1" applyFill="1" applyBorder="1" applyAlignment="1">
      <alignment horizontal="center"/>
    </xf>
    <xf numFmtId="2" fontId="12" fillId="36" borderId="11" xfId="0" applyNumberFormat="1" applyFont="1" applyFill="1" applyBorder="1" applyAlignment="1">
      <alignment horizontal="center"/>
    </xf>
    <xf numFmtId="2" fontId="11" fillId="36" borderId="11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10" fontId="16" fillId="0" borderId="0" xfId="0" applyNumberFormat="1" applyFont="1" applyAlignment="1">
      <alignment horizontal="left"/>
    </xf>
    <xf numFmtId="187" fontId="16" fillId="0" borderId="12" xfId="0" applyNumberFormat="1" applyFont="1" applyBorder="1" applyAlignment="1">
      <alignment horizontal="left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Border="1" applyAlignment="1">
      <alignment horizontal="left"/>
    </xf>
    <xf numFmtId="2" fontId="16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2" fontId="1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0" fontId="19" fillId="0" borderId="0" xfId="0" applyNumberFormat="1" applyFont="1" applyAlignment="1">
      <alignment horizontal="left"/>
    </xf>
    <xf numFmtId="187" fontId="19" fillId="0" borderId="12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13" xfId="0" applyFont="1" applyBorder="1" applyAlignment="1">
      <alignment/>
    </xf>
    <xf numFmtId="2" fontId="8" fillId="0" borderId="13" xfId="0" applyNumberFormat="1" applyFont="1" applyBorder="1" applyAlignment="1">
      <alignment horizontal="left"/>
    </xf>
    <xf numFmtId="4" fontId="8" fillId="0" borderId="0" xfId="0" applyNumberFormat="1" applyFont="1" applyAlignment="1">
      <alignment/>
    </xf>
    <xf numFmtId="10" fontId="8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left"/>
    </xf>
    <xf numFmtId="187" fontId="8" fillId="0" borderId="12" xfId="0" applyNumberFormat="1" applyFont="1" applyBorder="1" applyAlignment="1">
      <alignment horizontal="left"/>
    </xf>
    <xf numFmtId="10" fontId="8" fillId="0" borderId="12" xfId="5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10" fontId="14" fillId="0" borderId="0" xfId="0" applyNumberFormat="1" applyFont="1" applyAlignment="1">
      <alignment horizontal="left"/>
    </xf>
    <xf numFmtId="187" fontId="14" fillId="0" borderId="12" xfId="0" applyNumberFormat="1" applyFont="1" applyBorder="1" applyAlignment="1">
      <alignment horizontal="left"/>
    </xf>
    <xf numFmtId="9" fontId="14" fillId="0" borderId="0" xfId="0" applyNumberFormat="1" applyFont="1" applyAlignment="1">
      <alignment horizontal="left"/>
    </xf>
    <xf numFmtId="0" fontId="14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2" fontId="14" fillId="0" borderId="12" xfId="0" applyNumberFormat="1" applyFont="1" applyBorder="1" applyAlignment="1">
      <alignment horizontal="left"/>
    </xf>
    <xf numFmtId="10" fontId="14" fillId="0" borderId="12" xfId="5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left"/>
    </xf>
    <xf numFmtId="2" fontId="16" fillId="0" borderId="13" xfId="0" applyNumberFormat="1" applyFont="1" applyBorder="1" applyAlignment="1">
      <alignment horizontal="left"/>
    </xf>
    <xf numFmtId="2" fontId="14" fillId="0" borderId="13" xfId="0" applyNumberFormat="1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11" fillId="37" borderId="11" xfId="0" applyFont="1" applyFill="1" applyBorder="1" applyAlignment="1">
      <alignment horizontal="left"/>
    </xf>
    <xf numFmtId="0" fontId="11" fillId="37" borderId="11" xfId="0" applyFont="1" applyFill="1" applyBorder="1" applyAlignment="1">
      <alignment horizontal="center"/>
    </xf>
    <xf numFmtId="2" fontId="11" fillId="37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2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justify"/>
    </xf>
    <xf numFmtId="49" fontId="21" fillId="35" borderId="0" xfId="0" applyNumberFormat="1" applyFont="1" applyFill="1" applyBorder="1" applyAlignment="1">
      <alignment horizontal="left"/>
    </xf>
    <xf numFmtId="0" fontId="21" fillId="35" borderId="0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2" fontId="22" fillId="0" borderId="11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193" fontId="22" fillId="0" borderId="11" xfId="0" applyNumberFormat="1" applyFont="1" applyBorder="1" applyAlignment="1">
      <alignment horizontal="center"/>
    </xf>
    <xf numFmtId="2" fontId="21" fillId="35" borderId="0" xfId="0" applyNumberFormat="1" applyFont="1" applyFill="1" applyBorder="1" applyAlignment="1">
      <alignment horizontal="center"/>
    </xf>
    <xf numFmtId="2" fontId="24" fillId="35" borderId="0" xfId="0" applyNumberFormat="1" applyFont="1" applyFill="1" applyBorder="1" applyAlignment="1">
      <alignment horizontal="center"/>
    </xf>
    <xf numFmtId="0" fontId="21" fillId="35" borderId="0" xfId="0" applyFont="1" applyFill="1" applyBorder="1" applyAlignment="1">
      <alignment horizontal="left"/>
    </xf>
    <xf numFmtId="2" fontId="22" fillId="35" borderId="0" xfId="0" applyNumberFormat="1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2" fontId="22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0" fontId="22" fillId="35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justify"/>
    </xf>
    <xf numFmtId="0" fontId="16" fillId="0" borderId="1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1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825"/>
          <c:w val="0.946"/>
          <c:h val="0.90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produção!$C$20:$C$25</c:f>
              <c:numCache/>
            </c:numRef>
          </c:val>
          <c:smooth val="0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088"/>
        <c:crosses val="autoZero"/>
        <c:auto val="1"/>
        <c:lblOffset val="100"/>
        <c:tickLblSkip val="1"/>
        <c:noMultiLvlLbl val="0"/>
      </c:catAx>
      <c:valAx>
        <c:axId val="48290088"/>
        <c:scaling>
          <c:orientation val="minMax"/>
          <c:min val="50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72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17</xdr:row>
      <xdr:rowOff>76200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847975" y="28289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3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17.28125" style="0" customWidth="1"/>
    <col min="3" max="3" width="10.00390625" style="0" customWidth="1"/>
  </cols>
  <sheetData>
    <row r="4" spans="2:8" ht="12.75">
      <c r="B4" s="9" t="s">
        <v>37</v>
      </c>
      <c r="C4" s="10" t="s">
        <v>38</v>
      </c>
      <c r="D4" s="10" t="s">
        <v>47</v>
      </c>
      <c r="E4" s="10" t="s">
        <v>48</v>
      </c>
      <c r="F4" s="10" t="s">
        <v>49</v>
      </c>
      <c r="G4" s="10" t="s">
        <v>50</v>
      </c>
      <c r="H4" s="10" t="s">
        <v>51</v>
      </c>
    </row>
    <row r="5" spans="2:8" ht="12.75">
      <c r="B5" t="s">
        <v>39</v>
      </c>
      <c r="C5" s="8">
        <v>1.8</v>
      </c>
      <c r="D5" s="8">
        <v>1.8</v>
      </c>
      <c r="E5" s="8">
        <v>1.8</v>
      </c>
      <c r="F5" s="8">
        <v>1.8</v>
      </c>
      <c r="G5" s="8">
        <v>1.8</v>
      </c>
      <c r="H5" s="8">
        <v>1.8</v>
      </c>
    </row>
    <row r="6" spans="2:8" ht="12.75">
      <c r="B6" t="s">
        <v>40</v>
      </c>
      <c r="C6" s="15">
        <f>1070*5</f>
        <v>5350</v>
      </c>
      <c r="D6" s="15">
        <f>5*1496</f>
        <v>7480</v>
      </c>
      <c r="E6" s="15">
        <f>5*1700</f>
        <v>8500</v>
      </c>
      <c r="F6" s="15">
        <f>5*1700</f>
        <v>8500</v>
      </c>
      <c r="G6" s="15">
        <f>5*1700</f>
        <v>8500</v>
      </c>
      <c r="H6" s="15">
        <f>5*1700</f>
        <v>8500</v>
      </c>
    </row>
    <row r="7" spans="2:8" ht="12.75">
      <c r="B7" t="s">
        <v>41</v>
      </c>
      <c r="C7" s="14">
        <f aca="true" t="shared" si="0" ref="C7:H7">C6*C5</f>
        <v>9630</v>
      </c>
      <c r="D7" s="14">
        <f t="shared" si="0"/>
        <v>13464</v>
      </c>
      <c r="E7" s="14">
        <f t="shared" si="0"/>
        <v>15300</v>
      </c>
      <c r="F7" s="14">
        <f t="shared" si="0"/>
        <v>15300</v>
      </c>
      <c r="G7" s="14">
        <f t="shared" si="0"/>
        <v>15300</v>
      </c>
      <c r="H7" s="14">
        <f t="shared" si="0"/>
        <v>15300</v>
      </c>
    </row>
    <row r="8" spans="2:8" ht="12.75">
      <c r="B8" t="s">
        <v>26</v>
      </c>
      <c r="C8" s="14">
        <v>3878.55</v>
      </c>
      <c r="D8" s="14">
        <v>5027.23</v>
      </c>
      <c r="E8" s="14">
        <v>7309.64</v>
      </c>
      <c r="F8" s="14">
        <v>7309.64</v>
      </c>
      <c r="G8" s="14">
        <v>7309.64</v>
      </c>
      <c r="H8" s="14">
        <v>7309.64</v>
      </c>
    </row>
    <row r="9" spans="2:8" ht="12.75">
      <c r="B9" t="s">
        <v>42</v>
      </c>
      <c r="C9" s="14">
        <f aca="true" t="shared" si="1" ref="C9:H9">C7-C8</f>
        <v>5751.45</v>
      </c>
      <c r="D9" s="14">
        <f t="shared" si="1"/>
        <v>8436.77</v>
      </c>
      <c r="E9" s="14">
        <f t="shared" si="1"/>
        <v>7990.36</v>
      </c>
      <c r="F9" s="14">
        <f t="shared" si="1"/>
        <v>7990.36</v>
      </c>
      <c r="G9" s="14">
        <f t="shared" si="1"/>
        <v>7990.36</v>
      </c>
      <c r="H9" s="14">
        <f t="shared" si="1"/>
        <v>7990.36</v>
      </c>
    </row>
    <row r="10" spans="2:8" ht="12.75">
      <c r="B10" t="s">
        <v>43</v>
      </c>
      <c r="C10" s="14">
        <f aca="true" t="shared" si="2" ref="C10:H10">(C9/C7)*100</f>
        <v>59.72429906542056</v>
      </c>
      <c r="D10" s="14">
        <f t="shared" si="2"/>
        <v>62.661690433749264</v>
      </c>
      <c r="E10" s="14">
        <f t="shared" si="2"/>
        <v>52.22457516339869</v>
      </c>
      <c r="F10" s="14">
        <f t="shared" si="2"/>
        <v>52.22457516339869</v>
      </c>
      <c r="G10" s="14">
        <f t="shared" si="2"/>
        <v>52.22457516339869</v>
      </c>
      <c r="H10" s="14">
        <f t="shared" si="2"/>
        <v>52.22457516339869</v>
      </c>
    </row>
    <row r="11" spans="2:8" ht="12.75">
      <c r="B11" t="s">
        <v>58</v>
      </c>
      <c r="C11" s="14">
        <f aca="true" t="shared" si="3" ref="C11:H11">C8/C6</f>
        <v>0.7249626168224299</v>
      </c>
      <c r="D11" s="14">
        <f t="shared" si="3"/>
        <v>0.6720895721925133</v>
      </c>
      <c r="E11" s="14">
        <f t="shared" si="3"/>
        <v>0.8599576470588236</v>
      </c>
      <c r="F11" s="14">
        <f t="shared" si="3"/>
        <v>0.8599576470588236</v>
      </c>
      <c r="G11" s="14">
        <f t="shared" si="3"/>
        <v>0.8599576470588236</v>
      </c>
      <c r="H11" s="14">
        <f t="shared" si="3"/>
        <v>0.8599576470588236</v>
      </c>
    </row>
    <row r="12" spans="2:8" ht="12.75">
      <c r="B12" t="s">
        <v>44</v>
      </c>
      <c r="C12" s="14">
        <f aca="true" t="shared" si="4" ref="C12:H12">C8/2</f>
        <v>1939.275</v>
      </c>
      <c r="D12" s="14">
        <f t="shared" si="4"/>
        <v>2513.615</v>
      </c>
      <c r="E12" s="14">
        <f t="shared" si="4"/>
        <v>3654.82</v>
      </c>
      <c r="F12" s="14">
        <f t="shared" si="4"/>
        <v>3654.82</v>
      </c>
      <c r="G12" s="14">
        <f t="shared" si="4"/>
        <v>3654.82</v>
      </c>
      <c r="H12" s="14">
        <f t="shared" si="4"/>
        <v>3654.82</v>
      </c>
    </row>
    <row r="13" spans="2:8" ht="12.75">
      <c r="B13" t="s">
        <v>45</v>
      </c>
      <c r="C13" s="14">
        <v>4252.48</v>
      </c>
      <c r="D13" s="14">
        <v>5490.09</v>
      </c>
      <c r="E13" s="14">
        <v>7855.12</v>
      </c>
      <c r="F13" s="14">
        <v>7855.12</v>
      </c>
      <c r="G13" s="14">
        <v>7855.12</v>
      </c>
      <c r="H13" s="14">
        <v>7855.12</v>
      </c>
    </row>
    <row r="14" spans="2:8" ht="12.75">
      <c r="B14" t="s">
        <v>46</v>
      </c>
      <c r="C14" s="14">
        <f aca="true" t="shared" si="5" ref="C14:H14">C7-C13</f>
        <v>5377.52</v>
      </c>
      <c r="D14" s="14">
        <f t="shared" si="5"/>
        <v>7973.91</v>
      </c>
      <c r="E14" s="14">
        <f t="shared" si="5"/>
        <v>7444.88</v>
      </c>
      <c r="F14" s="14">
        <f t="shared" si="5"/>
        <v>7444.88</v>
      </c>
      <c r="G14" s="14">
        <f t="shared" si="5"/>
        <v>7444.88</v>
      </c>
      <c r="H14" s="14">
        <f t="shared" si="5"/>
        <v>7444.88</v>
      </c>
    </row>
    <row r="15" spans="2:8" ht="12.75">
      <c r="B15" t="s">
        <v>43</v>
      </c>
      <c r="C15" s="14">
        <f aca="true" t="shared" si="6" ref="C15:H15">(C14/C7)*100</f>
        <v>55.841329179646934</v>
      </c>
      <c r="D15" s="14">
        <f t="shared" si="6"/>
        <v>59.223930481283425</v>
      </c>
      <c r="E15" s="14">
        <f t="shared" si="6"/>
        <v>48.65934640522876</v>
      </c>
      <c r="F15" s="14">
        <f t="shared" si="6"/>
        <v>48.65934640522876</v>
      </c>
      <c r="G15" s="14">
        <f t="shared" si="6"/>
        <v>48.65934640522876</v>
      </c>
      <c r="H15" s="14">
        <f t="shared" si="6"/>
        <v>48.65934640522876</v>
      </c>
    </row>
    <row r="16" spans="2:8" ht="12.75">
      <c r="B16" t="s">
        <v>58</v>
      </c>
      <c r="C16" s="14">
        <f aca="true" t="shared" si="7" ref="C16:H16">C13/C6</f>
        <v>0.7948560747663551</v>
      </c>
      <c r="D16" s="14">
        <f t="shared" si="7"/>
        <v>0.7339692513368984</v>
      </c>
      <c r="E16" s="14">
        <f t="shared" si="7"/>
        <v>0.9241317647058823</v>
      </c>
      <c r="F16" s="14">
        <f t="shared" si="7"/>
        <v>0.9241317647058823</v>
      </c>
      <c r="G16" s="14">
        <f t="shared" si="7"/>
        <v>0.9241317647058823</v>
      </c>
      <c r="H16" s="14">
        <f t="shared" si="7"/>
        <v>0.9241317647058823</v>
      </c>
    </row>
    <row r="17" spans="2:8" ht="12.75">
      <c r="B17" t="s">
        <v>44</v>
      </c>
      <c r="C17" s="14">
        <f aca="true" t="shared" si="8" ref="C17:H17">C13/2</f>
        <v>2126.24</v>
      </c>
      <c r="D17" s="14">
        <f t="shared" si="8"/>
        <v>2745.045</v>
      </c>
      <c r="E17" s="14">
        <f t="shared" si="8"/>
        <v>3927.56</v>
      </c>
      <c r="F17" s="14">
        <f t="shared" si="8"/>
        <v>3927.56</v>
      </c>
      <c r="G17" s="14">
        <f t="shared" si="8"/>
        <v>3927.56</v>
      </c>
      <c r="H17" s="14">
        <f t="shared" si="8"/>
        <v>3927.56</v>
      </c>
    </row>
    <row r="19" spans="3:8" ht="12.75">
      <c r="C19" s="8"/>
      <c r="D19" s="8"/>
      <c r="E19" s="8"/>
      <c r="F19" s="8"/>
      <c r="G19" s="8"/>
      <c r="H19" s="8"/>
    </row>
    <row r="21" spans="3:6" ht="12.75">
      <c r="C21" s="5"/>
      <c r="D21" s="5"/>
      <c r="E21" s="8"/>
      <c r="F21" s="5"/>
    </row>
    <row r="22" spans="3:7" ht="12.75">
      <c r="C22" s="13"/>
      <c r="D22" s="13"/>
      <c r="E22" s="13"/>
      <c r="F22" s="13"/>
      <c r="G22" s="13"/>
    </row>
    <row r="23" spans="3:7" ht="12.75">
      <c r="C23" s="13"/>
      <c r="D23" s="13"/>
      <c r="E23" s="13"/>
      <c r="F23" s="13"/>
      <c r="G23" s="1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zoomScalePageLayoutView="0" workbookViewId="0" topLeftCell="A1">
      <selection activeCell="K15" sqref="K15"/>
    </sheetView>
  </sheetViews>
  <sheetFormatPr defaultColWidth="9.140625" defaultRowHeight="12.75"/>
  <cols>
    <col min="2" max="2" width="11.7109375" style="0" customWidth="1"/>
    <col min="3" max="3" width="13.140625" style="0" customWidth="1"/>
    <col min="5" max="5" width="14.421875" style="0" customWidth="1"/>
    <col min="6" max="6" width="9.57421875" style="0" bestFit="1" customWidth="1"/>
  </cols>
  <sheetData>
    <row r="1" spans="2:5" ht="12.75">
      <c r="B1" s="7" t="s">
        <v>30</v>
      </c>
      <c r="C1" s="7" t="s">
        <v>31</v>
      </c>
      <c r="D1" s="10" t="s">
        <v>32</v>
      </c>
      <c r="E1" s="9" t="s">
        <v>33</v>
      </c>
    </row>
    <row r="2" spans="1:5" ht="12.75">
      <c r="A2" s="7" t="s">
        <v>29</v>
      </c>
      <c r="B2" s="10" t="s">
        <v>17</v>
      </c>
      <c r="C2" s="10" t="s">
        <v>17</v>
      </c>
      <c r="D2" s="10" t="s">
        <v>34</v>
      </c>
      <c r="E2" s="10" t="s">
        <v>17</v>
      </c>
    </row>
    <row r="3" spans="1:5" ht="12.75">
      <c r="A3" s="7">
        <v>3</v>
      </c>
      <c r="B3" s="5">
        <v>8032</v>
      </c>
      <c r="C3" s="5">
        <f aca="true" t="shared" si="0" ref="C3:C8">(666*B3)/1000</f>
        <v>5349.312</v>
      </c>
      <c r="D3" s="5">
        <f aca="true" t="shared" si="1" ref="D3:D8">C3/5</f>
        <v>1069.8624</v>
      </c>
      <c r="E3" s="8">
        <f aca="true" t="shared" si="2" ref="E3:E8">C3*2</f>
        <v>10698.624</v>
      </c>
    </row>
    <row r="4" spans="1:5" ht="12.75">
      <c r="A4" s="7">
        <v>4</v>
      </c>
      <c r="B4" s="5">
        <v>11230</v>
      </c>
      <c r="C4" s="5">
        <f t="shared" si="0"/>
        <v>7479.18</v>
      </c>
      <c r="D4" s="5">
        <f t="shared" si="1"/>
        <v>1495.836</v>
      </c>
      <c r="E4" s="8">
        <f t="shared" si="2"/>
        <v>14958.36</v>
      </c>
    </row>
    <row r="5" spans="1:5" ht="12.75">
      <c r="A5" s="7">
        <v>5</v>
      </c>
      <c r="B5" s="5">
        <v>12990</v>
      </c>
      <c r="C5" s="5">
        <f t="shared" si="0"/>
        <v>8651.34</v>
      </c>
      <c r="D5" s="5">
        <f t="shared" si="1"/>
        <v>1730.268</v>
      </c>
      <c r="E5" s="8">
        <f t="shared" si="2"/>
        <v>17302.68</v>
      </c>
    </row>
    <row r="6" spans="1:12" ht="12.75">
      <c r="A6" s="7">
        <v>6</v>
      </c>
      <c r="B6" s="5">
        <v>14095</v>
      </c>
      <c r="C6" s="5">
        <f t="shared" si="0"/>
        <v>9387.27</v>
      </c>
      <c r="D6" s="5">
        <f t="shared" si="1"/>
        <v>1877.4540000000002</v>
      </c>
      <c r="E6" s="8">
        <f t="shared" si="2"/>
        <v>18774.54</v>
      </c>
      <c r="G6" s="6" t="s">
        <v>25</v>
      </c>
      <c r="H6" s="11"/>
      <c r="I6" s="12"/>
      <c r="J6" s="12">
        <f>3900/8</f>
        <v>487.5</v>
      </c>
      <c r="K6" s="12"/>
      <c r="L6" s="12">
        <f>3900/8</f>
        <v>487.5</v>
      </c>
    </row>
    <row r="7" spans="1:5" ht="12.75">
      <c r="A7" s="7">
        <v>7</v>
      </c>
      <c r="B7" s="5">
        <v>15860</v>
      </c>
      <c r="C7" s="5">
        <f t="shared" si="0"/>
        <v>10562.76</v>
      </c>
      <c r="D7" s="5">
        <f t="shared" si="1"/>
        <v>2112.552</v>
      </c>
      <c r="E7" s="8">
        <f t="shared" si="2"/>
        <v>21125.52</v>
      </c>
    </row>
    <row r="8" spans="1:5" ht="12.75">
      <c r="A8" s="7">
        <v>8</v>
      </c>
      <c r="B8" s="5">
        <v>12475</v>
      </c>
      <c r="C8" s="5">
        <f t="shared" si="0"/>
        <v>8308.35</v>
      </c>
      <c r="D8" s="5">
        <f t="shared" si="1"/>
        <v>1661.67</v>
      </c>
      <c r="E8" s="8">
        <f t="shared" si="2"/>
        <v>16616.7</v>
      </c>
    </row>
    <row r="9" spans="1:5" ht="12.75">
      <c r="A9" s="10" t="s">
        <v>35</v>
      </c>
      <c r="D9" s="5">
        <f>AVERAGE(D5,D8)</f>
        <v>1695.969</v>
      </c>
      <c r="E9" s="5">
        <f>AVERAGE(E5,E8)</f>
        <v>16959.690000000002</v>
      </c>
    </row>
    <row r="10" spans="4:6" ht="12.75">
      <c r="D10" s="5">
        <f>AVERAGE(D3,D8)</f>
        <v>1365.7662</v>
      </c>
      <c r="E10" s="3"/>
      <c r="F10" s="1"/>
    </row>
    <row r="11" ht="12.75">
      <c r="F11" s="1"/>
    </row>
    <row r="19" ht="12.75">
      <c r="B19" s="1" t="s">
        <v>29</v>
      </c>
    </row>
    <row r="20" spans="2:3" ht="12.75">
      <c r="B20">
        <v>3</v>
      </c>
      <c r="C20" s="8">
        <v>1069.8624</v>
      </c>
    </row>
    <row r="21" spans="2:3" ht="12.75">
      <c r="B21">
        <v>4</v>
      </c>
      <c r="C21" s="8">
        <v>1495.836</v>
      </c>
    </row>
    <row r="22" spans="2:3" ht="12.75">
      <c r="B22">
        <v>5</v>
      </c>
      <c r="C22" s="8">
        <v>1730.268</v>
      </c>
    </row>
    <row r="23" spans="2:3" ht="12.75">
      <c r="B23">
        <v>6</v>
      </c>
      <c r="C23" s="8">
        <v>1877.4540000000002</v>
      </c>
    </row>
    <row r="24" spans="2:3" ht="12.75">
      <c r="B24">
        <v>7</v>
      </c>
      <c r="C24" s="8">
        <v>2112.552</v>
      </c>
    </row>
    <row r="25" spans="2:3" ht="12.75">
      <c r="B25">
        <v>8</v>
      </c>
      <c r="C25" s="8">
        <v>1661.67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="75" zoomScaleNormal="75" zoomScalePageLayoutView="0" workbookViewId="0" topLeftCell="A1">
      <pane ySplit="4" topLeftCell="A78" activePane="bottomLeft" state="frozen"/>
      <selection pane="topLeft" activeCell="A1" sqref="A1"/>
      <selection pane="bottomLeft" activeCell="G83" sqref="G83"/>
    </sheetView>
  </sheetViews>
  <sheetFormatPr defaultColWidth="9.140625" defaultRowHeight="12.75"/>
  <cols>
    <col min="1" max="1" width="34.28125" style="4" customWidth="1"/>
    <col min="2" max="2" width="17.00390625" style="3" customWidth="1"/>
    <col min="3" max="3" width="8.7109375" style="3" customWidth="1"/>
    <col min="4" max="4" width="9.00390625" style="3" customWidth="1"/>
    <col min="5" max="5" width="8.7109375" style="3" customWidth="1"/>
    <col min="6" max="6" width="8.57421875" style="3" customWidth="1"/>
    <col min="7" max="7" width="8.7109375" style="3" customWidth="1"/>
    <col min="8" max="10" width="9.140625" style="3" customWidth="1"/>
    <col min="11" max="11" width="10.421875" style="3" bestFit="1" customWidth="1"/>
    <col min="12" max="16384" width="9.140625" style="3" customWidth="1"/>
  </cols>
  <sheetData>
    <row r="1" s="19" customFormat="1" ht="12.75" customHeight="1">
      <c r="A1" s="20" t="s">
        <v>130</v>
      </c>
    </row>
    <row r="2" spans="1:11" s="114" customFormat="1" ht="12.75">
      <c r="A2" s="110"/>
      <c r="B2" s="115"/>
      <c r="C2" s="115"/>
      <c r="D2" s="151"/>
      <c r="E2" s="151"/>
      <c r="F2" s="151"/>
      <c r="G2" s="151"/>
      <c r="H2" s="151"/>
      <c r="I2" s="151"/>
      <c r="J2" s="151"/>
      <c r="K2" s="151"/>
    </row>
    <row r="3" spans="1:11" ht="12.75">
      <c r="A3" s="113" t="s">
        <v>0</v>
      </c>
      <c r="B3" s="111" t="s">
        <v>1</v>
      </c>
      <c r="C3" s="111" t="s">
        <v>2</v>
      </c>
      <c r="D3" s="152" t="s">
        <v>3</v>
      </c>
      <c r="E3" s="152"/>
      <c r="F3" s="152" t="s">
        <v>4</v>
      </c>
      <c r="G3" s="152"/>
      <c r="H3" s="152" t="s">
        <v>5</v>
      </c>
      <c r="I3" s="152"/>
      <c r="J3" s="152" t="s">
        <v>105</v>
      </c>
      <c r="K3" s="152"/>
    </row>
    <row r="4" spans="1:11" ht="12.75">
      <c r="A4" s="112"/>
      <c r="B4" s="111"/>
      <c r="C4" s="111"/>
      <c r="D4" s="111" t="s">
        <v>6</v>
      </c>
      <c r="E4" s="111" t="s">
        <v>7</v>
      </c>
      <c r="F4" s="111" t="s">
        <v>6</v>
      </c>
      <c r="G4" s="111" t="s">
        <v>7</v>
      </c>
      <c r="H4" s="111" t="s">
        <v>6</v>
      </c>
      <c r="I4" s="111" t="s">
        <v>7</v>
      </c>
      <c r="J4" s="111" t="s">
        <v>6</v>
      </c>
      <c r="K4" s="111" t="s">
        <v>7</v>
      </c>
    </row>
    <row r="5" spans="1:11" s="7" customFormat="1" ht="12.75">
      <c r="A5" s="21" t="s">
        <v>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23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23" t="s">
        <v>59</v>
      </c>
      <c r="B7" s="22" t="s">
        <v>24</v>
      </c>
      <c r="C7" s="24">
        <v>34</v>
      </c>
      <c r="D7" s="24">
        <v>0.18</v>
      </c>
      <c r="E7" s="24">
        <f>D7*C7</f>
        <v>6.12</v>
      </c>
      <c r="F7" s="24"/>
      <c r="G7" s="24"/>
      <c r="H7" s="24"/>
      <c r="I7" s="24"/>
      <c r="J7" s="24"/>
      <c r="K7" s="24"/>
    </row>
    <row r="8" spans="1:11" ht="12.75">
      <c r="A8" s="23" t="s">
        <v>10</v>
      </c>
      <c r="B8" s="22" t="s">
        <v>24</v>
      </c>
      <c r="C8" s="24">
        <v>28</v>
      </c>
      <c r="D8" s="24">
        <v>0.18</v>
      </c>
      <c r="E8" s="24">
        <f>D8*C8</f>
        <v>5.04</v>
      </c>
      <c r="F8" s="24"/>
      <c r="G8" s="24"/>
      <c r="H8" s="24"/>
      <c r="I8" s="24"/>
      <c r="J8" s="24"/>
      <c r="K8" s="24"/>
    </row>
    <row r="9" spans="1:11" s="7" customFormat="1" ht="12.75">
      <c r="A9" s="116" t="s">
        <v>11</v>
      </c>
      <c r="B9" s="117"/>
      <c r="C9" s="118"/>
      <c r="D9" s="119"/>
      <c r="E9" s="119">
        <f>SUM(E7:E8)</f>
        <v>11.16</v>
      </c>
      <c r="F9" s="119"/>
      <c r="G9" s="119"/>
      <c r="H9" s="119"/>
      <c r="I9" s="119"/>
      <c r="J9" s="119"/>
      <c r="K9" s="119"/>
    </row>
    <row r="10" spans="1:11" s="7" customFormat="1" ht="12.75">
      <c r="A10" s="21" t="s">
        <v>12</v>
      </c>
      <c r="B10" s="32"/>
      <c r="C10" s="44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23" t="s">
        <v>13</v>
      </c>
      <c r="B11" s="22"/>
      <c r="C11" s="25"/>
      <c r="D11" s="24"/>
      <c r="E11" s="24"/>
      <c r="F11" s="24"/>
      <c r="G11" s="24"/>
      <c r="H11" s="24"/>
      <c r="I11" s="24"/>
      <c r="J11" s="24"/>
      <c r="K11" s="24"/>
    </row>
    <row r="12" spans="1:11" ht="12.75">
      <c r="A12" s="23" t="s">
        <v>63</v>
      </c>
      <c r="B12" s="22" t="s">
        <v>14</v>
      </c>
      <c r="C12" s="24">
        <v>12</v>
      </c>
      <c r="D12" s="24">
        <v>0.06</v>
      </c>
      <c r="E12" s="24">
        <f aca="true" t="shared" si="0" ref="E12:E20">D12*C12</f>
        <v>0.72</v>
      </c>
      <c r="F12" s="24"/>
      <c r="G12" s="24"/>
      <c r="H12" s="24"/>
      <c r="I12" s="24"/>
      <c r="J12" s="24"/>
      <c r="K12" s="24"/>
    </row>
    <row r="13" spans="1:11" ht="12.75">
      <c r="A13" s="23" t="s">
        <v>28</v>
      </c>
      <c r="B13" s="22" t="s">
        <v>14</v>
      </c>
      <c r="C13" s="24">
        <v>12</v>
      </c>
      <c r="D13" s="24">
        <v>1</v>
      </c>
      <c r="E13" s="24">
        <f t="shared" si="0"/>
        <v>12</v>
      </c>
      <c r="F13" s="24"/>
      <c r="G13" s="24"/>
      <c r="H13" s="24"/>
      <c r="I13" s="24"/>
      <c r="J13" s="24"/>
      <c r="K13" s="24"/>
    </row>
    <row r="14" spans="1:11" ht="12.75">
      <c r="A14" s="23" t="s">
        <v>61</v>
      </c>
      <c r="B14" s="22" t="s">
        <v>14</v>
      </c>
      <c r="C14" s="24">
        <v>12</v>
      </c>
      <c r="D14" s="24">
        <v>0.18</v>
      </c>
      <c r="E14" s="24">
        <f t="shared" si="0"/>
        <v>2.16</v>
      </c>
      <c r="F14" s="24"/>
      <c r="G14" s="24"/>
      <c r="H14" s="24"/>
      <c r="I14" s="24"/>
      <c r="J14" s="24"/>
      <c r="K14" s="24"/>
    </row>
    <row r="15" spans="1:11" ht="12.75">
      <c r="A15" s="23" t="s">
        <v>60</v>
      </c>
      <c r="B15" s="22" t="s">
        <v>14</v>
      </c>
      <c r="C15" s="24">
        <v>12</v>
      </c>
      <c r="D15" s="24">
        <v>0.3</v>
      </c>
      <c r="E15" s="24">
        <f t="shared" si="0"/>
        <v>3.5999999999999996</v>
      </c>
      <c r="F15" s="24"/>
      <c r="G15" s="24"/>
      <c r="H15" s="24"/>
      <c r="I15" s="24"/>
      <c r="J15" s="24"/>
      <c r="K15" s="24"/>
    </row>
    <row r="16" spans="1:11" ht="12.75">
      <c r="A16" s="23" t="s">
        <v>62</v>
      </c>
      <c r="B16" s="22" t="s">
        <v>14</v>
      </c>
      <c r="C16" s="24">
        <v>12</v>
      </c>
      <c r="D16" s="24">
        <v>0.5</v>
      </c>
      <c r="E16" s="24">
        <f t="shared" si="0"/>
        <v>6</v>
      </c>
      <c r="F16" s="24"/>
      <c r="G16" s="24"/>
      <c r="H16" s="24"/>
      <c r="I16" s="24"/>
      <c r="J16" s="24"/>
      <c r="K16" s="24"/>
    </row>
    <row r="17" spans="1:11" ht="12.75">
      <c r="A17" s="23" t="s">
        <v>64</v>
      </c>
      <c r="B17" s="22" t="s">
        <v>14</v>
      </c>
      <c r="C17" s="24">
        <v>12</v>
      </c>
      <c r="D17" s="24">
        <v>2</v>
      </c>
      <c r="E17" s="24">
        <f t="shared" si="0"/>
        <v>24</v>
      </c>
      <c r="F17" s="24"/>
      <c r="G17" s="24"/>
      <c r="H17" s="24"/>
      <c r="I17" s="24"/>
      <c r="J17" s="24"/>
      <c r="K17" s="24"/>
    </row>
    <row r="18" spans="1:11" ht="12.75">
      <c r="A18" s="23" t="s">
        <v>15</v>
      </c>
      <c r="B18" s="22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>
      <c r="A19" s="23" t="s">
        <v>65</v>
      </c>
      <c r="B19" s="22" t="s">
        <v>14</v>
      </c>
      <c r="C19" s="24">
        <v>12</v>
      </c>
      <c r="D19" s="24">
        <v>0.8</v>
      </c>
      <c r="E19" s="24">
        <f t="shared" si="0"/>
        <v>9.600000000000001</v>
      </c>
      <c r="F19" s="24">
        <v>0.4</v>
      </c>
      <c r="G19" s="24">
        <f>F19*C19</f>
        <v>4.800000000000001</v>
      </c>
      <c r="H19" s="24">
        <v>0.75</v>
      </c>
      <c r="I19" s="24">
        <f>C19*H19</f>
        <v>9</v>
      </c>
      <c r="J19" s="24">
        <v>0.75</v>
      </c>
      <c r="K19" s="24">
        <f>C19*J19</f>
        <v>9</v>
      </c>
    </row>
    <row r="20" spans="1:11" ht="12.75">
      <c r="A20" s="23" t="s">
        <v>66</v>
      </c>
      <c r="B20" s="22" t="s">
        <v>14</v>
      </c>
      <c r="C20" s="24">
        <v>12</v>
      </c>
      <c r="D20" s="24">
        <v>0.36</v>
      </c>
      <c r="E20" s="24">
        <f t="shared" si="0"/>
        <v>4.32</v>
      </c>
      <c r="F20" s="24"/>
      <c r="G20" s="24"/>
      <c r="H20" s="24"/>
      <c r="I20" s="24"/>
      <c r="J20" s="24"/>
      <c r="K20" s="24"/>
    </row>
    <row r="21" spans="1:11" ht="12.75">
      <c r="A21" s="23" t="s">
        <v>67</v>
      </c>
      <c r="B21" s="22" t="s">
        <v>14</v>
      </c>
      <c r="C21" s="24">
        <v>12</v>
      </c>
      <c r="D21" s="24"/>
      <c r="E21" s="24"/>
      <c r="F21" s="24">
        <v>1.2</v>
      </c>
      <c r="G21" s="24">
        <f>F21*C21</f>
        <v>14.399999999999999</v>
      </c>
      <c r="H21" s="24">
        <v>1.4</v>
      </c>
      <c r="I21" s="24">
        <f>C21*H21</f>
        <v>16.799999999999997</v>
      </c>
      <c r="J21" s="24">
        <v>1.4</v>
      </c>
      <c r="K21" s="24">
        <f aca="true" t="shared" si="1" ref="K21:K35">C21*J21</f>
        <v>16.799999999999997</v>
      </c>
    </row>
    <row r="22" spans="1:11" ht="12.75">
      <c r="A22" s="23" t="s">
        <v>68</v>
      </c>
      <c r="B22" s="22" t="s">
        <v>14</v>
      </c>
      <c r="C22" s="24">
        <v>12</v>
      </c>
      <c r="D22" s="24"/>
      <c r="E22" s="24"/>
      <c r="F22" s="24">
        <v>0.6</v>
      </c>
      <c r="G22" s="24">
        <f>F22*C22</f>
        <v>7.199999999999999</v>
      </c>
      <c r="H22" s="24">
        <v>0.6</v>
      </c>
      <c r="I22" s="24">
        <f>C22*H22</f>
        <v>7.199999999999999</v>
      </c>
      <c r="J22" s="24">
        <v>0.7</v>
      </c>
      <c r="K22" s="24">
        <f t="shared" si="1"/>
        <v>8.399999999999999</v>
      </c>
    </row>
    <row r="23" spans="1:11" ht="12.75">
      <c r="A23" s="23" t="s">
        <v>84</v>
      </c>
      <c r="B23" s="22" t="s">
        <v>14</v>
      </c>
      <c r="C23" s="24">
        <v>12</v>
      </c>
      <c r="D23" s="24">
        <v>1</v>
      </c>
      <c r="E23" s="24">
        <f>D23*C23</f>
        <v>12</v>
      </c>
      <c r="F23" s="24">
        <v>0.5</v>
      </c>
      <c r="G23" s="24">
        <f>F23*C23</f>
        <v>6</v>
      </c>
      <c r="H23" s="24">
        <v>1</v>
      </c>
      <c r="I23" s="24">
        <f>C23*H23</f>
        <v>12</v>
      </c>
      <c r="J23" s="24">
        <v>1.2</v>
      </c>
      <c r="K23" s="24">
        <f t="shared" si="1"/>
        <v>14.399999999999999</v>
      </c>
    </row>
    <row r="24" spans="1:11" ht="12.75">
      <c r="A24" s="29" t="s">
        <v>69</v>
      </c>
      <c r="B24" s="49" t="s">
        <v>14</v>
      </c>
      <c r="C24" s="43">
        <v>12</v>
      </c>
      <c r="D24" s="43">
        <v>1.5</v>
      </c>
      <c r="E24" s="43">
        <f>D24*C24</f>
        <v>18</v>
      </c>
      <c r="F24" s="43">
        <v>4</v>
      </c>
      <c r="G24" s="43">
        <f>F24*C24</f>
        <v>48</v>
      </c>
      <c r="H24" s="43">
        <v>8</v>
      </c>
      <c r="I24" s="43">
        <f>C24*H24</f>
        <v>96</v>
      </c>
      <c r="J24" s="43">
        <v>8</v>
      </c>
      <c r="K24" s="43">
        <f t="shared" si="1"/>
        <v>96</v>
      </c>
    </row>
    <row r="25" spans="1:11" s="7" customFormat="1" ht="12.75">
      <c r="A25" s="116" t="s">
        <v>16</v>
      </c>
      <c r="B25" s="117"/>
      <c r="C25" s="119"/>
      <c r="D25" s="119"/>
      <c r="E25" s="119">
        <f>SUM(E13:E22)</f>
        <v>61.68</v>
      </c>
      <c r="F25" s="119"/>
      <c r="G25" s="119">
        <f>SUM(G19:G22)</f>
        <v>26.4</v>
      </c>
      <c r="H25" s="119"/>
      <c r="I25" s="119">
        <f>SUM(I19:I24)</f>
        <v>141</v>
      </c>
      <c r="J25" s="119"/>
      <c r="K25" s="119">
        <f>SUM(K19:K24)</f>
        <v>144.6</v>
      </c>
    </row>
    <row r="26" spans="1:11" s="7" customFormat="1" ht="12.75">
      <c r="A26" s="45" t="s">
        <v>27</v>
      </c>
      <c r="B26" s="46"/>
      <c r="C26" s="47"/>
      <c r="D26" s="47"/>
      <c r="E26" s="47"/>
      <c r="F26" s="47"/>
      <c r="G26" s="47"/>
      <c r="H26" s="33"/>
      <c r="I26" s="33"/>
      <c r="J26" s="33"/>
      <c r="K26" s="33"/>
    </row>
    <row r="27" spans="1:11" ht="12.75">
      <c r="A27" s="23" t="s">
        <v>71</v>
      </c>
      <c r="B27" s="22" t="s">
        <v>70</v>
      </c>
      <c r="C27" s="24">
        <v>15</v>
      </c>
      <c r="D27" s="24">
        <v>3</v>
      </c>
      <c r="E27" s="24">
        <f>D27*C27</f>
        <v>45</v>
      </c>
      <c r="F27" s="24">
        <v>1.5</v>
      </c>
      <c r="G27" s="24">
        <f>C27*F27</f>
        <v>22.5</v>
      </c>
      <c r="H27" s="24">
        <v>1.5</v>
      </c>
      <c r="I27" s="24">
        <f>C27*H27</f>
        <v>22.5</v>
      </c>
      <c r="J27" s="24">
        <v>1.5</v>
      </c>
      <c r="K27" s="24">
        <f t="shared" si="1"/>
        <v>22.5</v>
      </c>
    </row>
    <row r="28" spans="1:11" ht="12.75">
      <c r="A28" s="23" t="s">
        <v>85</v>
      </c>
      <c r="B28" s="22" t="s">
        <v>70</v>
      </c>
      <c r="C28" s="24">
        <v>12</v>
      </c>
      <c r="D28" s="24">
        <v>1.2</v>
      </c>
      <c r="E28" s="24">
        <f>D28*C28</f>
        <v>14.399999999999999</v>
      </c>
      <c r="F28" s="24">
        <v>1.2</v>
      </c>
      <c r="G28" s="24">
        <f>C28*F28</f>
        <v>14.399999999999999</v>
      </c>
      <c r="H28" s="24">
        <v>1.2</v>
      </c>
      <c r="I28" s="24">
        <f>C28*H28</f>
        <v>14.399999999999999</v>
      </c>
      <c r="J28" s="24">
        <v>1.2</v>
      </c>
      <c r="K28" s="24">
        <f t="shared" si="1"/>
        <v>14.399999999999999</v>
      </c>
    </row>
    <row r="29" spans="1:11" ht="12.75">
      <c r="A29" s="23" t="s">
        <v>72</v>
      </c>
      <c r="B29" s="22" t="s">
        <v>70</v>
      </c>
      <c r="C29" s="24">
        <v>320</v>
      </c>
      <c r="D29" s="24">
        <v>0.166</v>
      </c>
      <c r="E29" s="24">
        <f>D29*C29</f>
        <v>53.120000000000005</v>
      </c>
      <c r="F29" s="24">
        <v>0.07</v>
      </c>
      <c r="G29" s="24">
        <f aca="true" t="shared" si="2" ref="G29:G35">C29*F29</f>
        <v>22.400000000000002</v>
      </c>
      <c r="H29" s="24">
        <v>0.07</v>
      </c>
      <c r="I29" s="24">
        <f aca="true" t="shared" si="3" ref="I29:I35">C29*H29</f>
        <v>22.400000000000002</v>
      </c>
      <c r="J29" s="24">
        <v>0.07</v>
      </c>
      <c r="K29" s="24">
        <f t="shared" si="1"/>
        <v>22.400000000000002</v>
      </c>
    </row>
    <row r="30" spans="1:11" ht="12.75">
      <c r="A30" s="23" t="s">
        <v>74</v>
      </c>
      <c r="B30" s="22" t="s">
        <v>73</v>
      </c>
      <c r="C30" s="24">
        <v>1.5</v>
      </c>
      <c r="D30" s="24">
        <v>4.5</v>
      </c>
      <c r="E30" s="24">
        <f aca="true" t="shared" si="4" ref="E30:E35">D30*C30</f>
        <v>6.75</v>
      </c>
      <c r="F30" s="24">
        <v>7.2</v>
      </c>
      <c r="G30" s="24">
        <f t="shared" si="2"/>
        <v>10.8</v>
      </c>
      <c r="H30" s="24">
        <v>17</v>
      </c>
      <c r="I30" s="24">
        <f t="shared" si="3"/>
        <v>25.5</v>
      </c>
      <c r="J30" s="24">
        <v>17</v>
      </c>
      <c r="K30" s="24">
        <f t="shared" si="1"/>
        <v>25.5</v>
      </c>
    </row>
    <row r="31" spans="1:11" ht="12.75">
      <c r="A31" s="23" t="s">
        <v>75</v>
      </c>
      <c r="B31" s="22" t="s">
        <v>78</v>
      </c>
      <c r="C31" s="24">
        <v>5</v>
      </c>
      <c r="D31" s="24">
        <v>0.1</v>
      </c>
      <c r="E31" s="24">
        <f t="shared" si="4"/>
        <v>0.5</v>
      </c>
      <c r="F31" s="24">
        <v>0.2</v>
      </c>
      <c r="G31" s="24">
        <f t="shared" si="2"/>
        <v>1</v>
      </c>
      <c r="H31" s="24">
        <v>0.45</v>
      </c>
      <c r="I31" s="24">
        <f t="shared" si="3"/>
        <v>2.25</v>
      </c>
      <c r="J31" s="24">
        <v>2.25</v>
      </c>
      <c r="K31" s="24">
        <f t="shared" si="1"/>
        <v>11.25</v>
      </c>
    </row>
    <row r="32" spans="1:11" ht="12.75">
      <c r="A32" s="23" t="s">
        <v>76</v>
      </c>
      <c r="B32" s="22" t="s">
        <v>78</v>
      </c>
      <c r="C32" s="24">
        <v>20</v>
      </c>
      <c r="D32" s="24">
        <v>0.6</v>
      </c>
      <c r="E32" s="24">
        <f t="shared" si="4"/>
        <v>12</v>
      </c>
      <c r="F32" s="24">
        <v>0.8</v>
      </c>
      <c r="G32" s="24">
        <f t="shared" si="2"/>
        <v>16</v>
      </c>
      <c r="H32" s="24">
        <v>1.6</v>
      </c>
      <c r="I32" s="24">
        <f t="shared" si="3"/>
        <v>32</v>
      </c>
      <c r="J32" s="24">
        <v>1.6</v>
      </c>
      <c r="K32" s="24">
        <f t="shared" si="1"/>
        <v>32</v>
      </c>
    </row>
    <row r="33" spans="1:11" ht="12.75">
      <c r="A33" s="23" t="s">
        <v>79</v>
      </c>
      <c r="B33" s="22" t="s">
        <v>73</v>
      </c>
      <c r="C33" s="24">
        <v>0.4</v>
      </c>
      <c r="D33" s="24">
        <v>8.2</v>
      </c>
      <c r="E33" s="24">
        <f t="shared" si="4"/>
        <v>3.28</v>
      </c>
      <c r="F33" s="24">
        <v>15.5</v>
      </c>
      <c r="G33" s="24">
        <f t="shared" si="2"/>
        <v>6.2</v>
      </c>
      <c r="H33" s="24">
        <v>30</v>
      </c>
      <c r="I33" s="24">
        <f t="shared" si="3"/>
        <v>12</v>
      </c>
      <c r="J33" s="24">
        <v>30</v>
      </c>
      <c r="K33" s="24">
        <f t="shared" si="1"/>
        <v>12</v>
      </c>
    </row>
    <row r="34" spans="1:11" ht="12.75">
      <c r="A34" s="23" t="s">
        <v>80</v>
      </c>
      <c r="B34" s="22" t="s">
        <v>81</v>
      </c>
      <c r="C34" s="24">
        <v>0.35</v>
      </c>
      <c r="D34" s="24">
        <v>30</v>
      </c>
      <c r="E34" s="24">
        <f t="shared" si="4"/>
        <v>10.5</v>
      </c>
      <c r="F34" s="24">
        <v>70</v>
      </c>
      <c r="G34" s="24">
        <f t="shared" si="2"/>
        <v>24.5</v>
      </c>
      <c r="H34" s="24">
        <v>126</v>
      </c>
      <c r="I34" s="24">
        <f t="shared" si="3"/>
        <v>44.099999999999994</v>
      </c>
      <c r="J34" s="24">
        <v>210</v>
      </c>
      <c r="K34" s="24">
        <f t="shared" si="1"/>
        <v>73.5</v>
      </c>
    </row>
    <row r="35" spans="1:11" ht="12.75">
      <c r="A35" s="23" t="s">
        <v>77</v>
      </c>
      <c r="B35" s="22" t="s">
        <v>78</v>
      </c>
      <c r="C35" s="24">
        <v>2</v>
      </c>
      <c r="D35" s="24">
        <v>0.35</v>
      </c>
      <c r="E35" s="24">
        <f t="shared" si="4"/>
        <v>0.7</v>
      </c>
      <c r="F35" s="24">
        <v>0.7</v>
      </c>
      <c r="G35" s="24">
        <f t="shared" si="2"/>
        <v>1.4</v>
      </c>
      <c r="H35" s="24">
        <v>1.5</v>
      </c>
      <c r="I35" s="24">
        <f t="shared" si="3"/>
        <v>3</v>
      </c>
      <c r="J35" s="24">
        <v>1.5</v>
      </c>
      <c r="K35" s="24">
        <f t="shared" si="1"/>
        <v>3</v>
      </c>
    </row>
    <row r="36" spans="1:11" s="7" customFormat="1" ht="12.75">
      <c r="A36" s="116" t="s">
        <v>19</v>
      </c>
      <c r="B36" s="117"/>
      <c r="C36" s="119"/>
      <c r="D36" s="119"/>
      <c r="E36" s="119">
        <f>SUM(E27:E35)</f>
        <v>146.25</v>
      </c>
      <c r="F36" s="119"/>
      <c r="G36" s="119">
        <f>SUM(G27:G35)</f>
        <v>119.2</v>
      </c>
      <c r="H36" s="119"/>
      <c r="I36" s="119">
        <f>SUM(I27:I35)</f>
        <v>178.15</v>
      </c>
      <c r="J36" s="119"/>
      <c r="K36" s="119">
        <f>SUM(K27:K35)</f>
        <v>216.55</v>
      </c>
    </row>
    <row r="37" spans="1:11" s="7" customFormat="1" ht="12.75">
      <c r="A37" s="21" t="s">
        <v>20</v>
      </c>
      <c r="B37" s="32"/>
      <c r="C37" s="33"/>
      <c r="D37" s="33"/>
      <c r="E37" s="33">
        <f>E36+E25+E9</f>
        <v>219.09</v>
      </c>
      <c r="F37" s="33"/>
      <c r="G37" s="33">
        <f>G36+G25+G9</f>
        <v>145.6</v>
      </c>
      <c r="H37" s="34"/>
      <c r="I37" s="33">
        <f>I25+I36</f>
        <v>319.15</v>
      </c>
      <c r="J37" s="33"/>
      <c r="K37" s="33">
        <f>K25+K36</f>
        <v>361.15</v>
      </c>
    </row>
    <row r="38" spans="1:11" s="7" customFormat="1" ht="12.75">
      <c r="A38" s="116" t="s">
        <v>83</v>
      </c>
      <c r="B38" s="117"/>
      <c r="C38" s="119"/>
      <c r="D38" s="119"/>
      <c r="E38" s="119">
        <v>14.9</v>
      </c>
      <c r="F38" s="119"/>
      <c r="G38" s="119">
        <v>14.9</v>
      </c>
      <c r="H38" s="119"/>
      <c r="I38" s="119">
        <v>14.9</v>
      </c>
      <c r="J38" s="119"/>
      <c r="K38" s="119">
        <v>14.9</v>
      </c>
    </row>
    <row r="39" spans="1:11" s="7" customFormat="1" ht="12.75">
      <c r="A39" s="28" t="s">
        <v>21</v>
      </c>
      <c r="B39" s="35"/>
      <c r="C39" s="36"/>
      <c r="D39" s="36"/>
      <c r="E39" s="36">
        <f>E37*0.05</f>
        <v>10.954500000000001</v>
      </c>
      <c r="F39" s="36"/>
      <c r="G39" s="36">
        <f>G37*0.05</f>
        <v>7.28</v>
      </c>
      <c r="H39" s="36"/>
      <c r="I39" s="36">
        <f>I37*0.05</f>
        <v>15.9575</v>
      </c>
      <c r="J39" s="36"/>
      <c r="K39" s="36">
        <f>K37*0.05</f>
        <v>18.0575</v>
      </c>
    </row>
    <row r="40" spans="1:11" s="7" customFormat="1" ht="12.75">
      <c r="A40" s="116" t="s">
        <v>36</v>
      </c>
      <c r="B40" s="117"/>
      <c r="C40" s="119"/>
      <c r="D40" s="119"/>
      <c r="E40" s="119">
        <f>E37/2*0.0875</f>
        <v>9.5851875</v>
      </c>
      <c r="F40" s="119"/>
      <c r="G40" s="119">
        <f>G37*0.044</f>
        <v>6.4064</v>
      </c>
      <c r="H40" s="119"/>
      <c r="I40" s="119">
        <f>I37*0.0875</f>
        <v>27.925624999999997</v>
      </c>
      <c r="J40" s="119"/>
      <c r="K40" s="119">
        <f>K37*0.0875</f>
        <v>31.600624999999997</v>
      </c>
    </row>
    <row r="41" spans="1:11" s="38" customFormat="1" ht="12.75">
      <c r="A41" s="28" t="s">
        <v>22</v>
      </c>
      <c r="B41" s="37"/>
      <c r="C41" s="36"/>
      <c r="D41" s="36"/>
      <c r="E41" s="36">
        <f>SUM(E37:E40)</f>
        <v>254.5296875</v>
      </c>
      <c r="F41" s="36"/>
      <c r="G41" s="36">
        <f>SUM(G37:G40)</f>
        <v>174.1864</v>
      </c>
      <c r="H41" s="36"/>
      <c r="I41" s="36">
        <f>SUM(I37:I40)</f>
        <v>377.9331249999999</v>
      </c>
      <c r="J41" s="36"/>
      <c r="K41" s="36">
        <f>SUM(K37:K40)</f>
        <v>425.70812499999994</v>
      </c>
    </row>
    <row r="42" spans="1:11" s="7" customFormat="1" ht="12.75">
      <c r="A42" s="39" t="s">
        <v>82</v>
      </c>
      <c r="B42" s="40"/>
      <c r="C42" s="41"/>
      <c r="D42" s="41"/>
      <c r="E42" s="42">
        <f>E41/150</f>
        <v>1.6968645833333333</v>
      </c>
      <c r="F42" s="41"/>
      <c r="G42" s="42">
        <f>G41/150</f>
        <v>1.1612426666666666</v>
      </c>
      <c r="H42" s="41"/>
      <c r="I42" s="42">
        <f>I41/150</f>
        <v>2.519554166666666</v>
      </c>
      <c r="J42" s="42"/>
      <c r="K42" s="42">
        <f>K41/150</f>
        <v>2.8380541666666663</v>
      </c>
    </row>
    <row r="43" spans="1:11" s="7" customFormat="1" ht="12.75">
      <c r="A43" s="116" t="s">
        <v>128</v>
      </c>
      <c r="B43" s="117"/>
      <c r="C43" s="119"/>
      <c r="D43" s="119"/>
      <c r="E43" s="119">
        <f>E41/84</f>
        <v>3.0301153273809525</v>
      </c>
      <c r="F43" s="119"/>
      <c r="G43" s="119">
        <f>G41/210</f>
        <v>0.8294590476190475</v>
      </c>
      <c r="H43" s="119"/>
      <c r="I43" s="119">
        <f>I41/372</f>
        <v>1.0159492607526879</v>
      </c>
      <c r="J43" s="119"/>
      <c r="K43" s="119">
        <f>K41/630</f>
        <v>0.6757271825396824</v>
      </c>
    </row>
    <row r="44" spans="1:11" s="7" customFormat="1" ht="12.75">
      <c r="A44" s="21" t="s">
        <v>127</v>
      </c>
      <c r="B44" s="32"/>
      <c r="C44" s="33"/>
      <c r="D44" s="33"/>
      <c r="E44" s="33">
        <f>(E41*0.3)/33.6</f>
        <v>2.272586495535714</v>
      </c>
      <c r="F44" s="33"/>
      <c r="G44" s="33">
        <f>(G41*0.3)/84</f>
        <v>0.6220942857142857</v>
      </c>
      <c r="H44" s="33"/>
      <c r="I44" s="33">
        <f>(I41*0.3)/151.2</f>
        <v>0.7498673115079364</v>
      </c>
      <c r="J44" s="33"/>
      <c r="K44" s="33">
        <f>(K41*0.3)/252</f>
        <v>0.5067953869047618</v>
      </c>
    </row>
    <row r="45" spans="1:11" s="7" customFormat="1" ht="12.75">
      <c r="A45" s="116" t="s">
        <v>129</v>
      </c>
      <c r="B45" s="117"/>
      <c r="C45" s="117"/>
      <c r="D45" s="117"/>
      <c r="E45" s="119">
        <f>(E41*0.7)/50.4</f>
        <v>3.5351345486111105</v>
      </c>
      <c r="F45" s="119"/>
      <c r="G45" s="119">
        <f>(G41*0.7)/126</f>
        <v>0.9677022222222221</v>
      </c>
      <c r="H45" s="119"/>
      <c r="I45" s="119">
        <f>(I41*0.7)/226.8</f>
        <v>1.1664602623456786</v>
      </c>
      <c r="J45" s="119"/>
      <c r="K45" s="119">
        <f>(K41*0.7)/378</f>
        <v>0.7883483796296294</v>
      </c>
    </row>
    <row r="46" spans="1:11" s="131" customFormat="1" ht="12.75">
      <c r="A46" s="128"/>
      <c r="B46" s="129"/>
      <c r="C46" s="129"/>
      <c r="D46" s="129"/>
      <c r="E46" s="130"/>
      <c r="F46" s="130"/>
      <c r="G46" s="130"/>
      <c r="H46" s="130"/>
      <c r="I46" s="130"/>
      <c r="J46" s="130"/>
      <c r="K46" s="130"/>
    </row>
    <row r="47" spans="1:11" s="131" customFormat="1" ht="12.75">
      <c r="A47" s="128"/>
      <c r="B47" s="129"/>
      <c r="C47" s="129"/>
      <c r="D47" s="129"/>
      <c r="E47" s="130"/>
      <c r="F47" s="130"/>
      <c r="G47" s="130"/>
      <c r="H47" s="130"/>
      <c r="I47" s="130"/>
      <c r="J47" s="130"/>
      <c r="K47" s="130"/>
    </row>
    <row r="48" spans="1:11" s="131" customFormat="1" ht="12.75">
      <c r="A48" s="128"/>
      <c r="B48" s="129"/>
      <c r="C48" s="129"/>
      <c r="D48" s="129"/>
      <c r="E48" s="130"/>
      <c r="F48" s="130"/>
      <c r="G48" s="130"/>
      <c r="H48" s="130"/>
      <c r="I48" s="130"/>
      <c r="J48" s="130"/>
      <c r="K48" s="130"/>
    </row>
    <row r="49" spans="1:11" s="131" customFormat="1" ht="12.75">
      <c r="A49" s="128"/>
      <c r="B49" s="129"/>
      <c r="C49" s="129"/>
      <c r="D49" s="129"/>
      <c r="E49" s="130"/>
      <c r="F49" s="130"/>
      <c r="G49" s="130"/>
      <c r="H49" s="130"/>
      <c r="I49" s="130"/>
      <c r="J49" s="130"/>
      <c r="K49" s="130"/>
    </row>
    <row r="50" spans="1:11" s="131" customFormat="1" ht="12.75">
      <c r="A50" s="128"/>
      <c r="B50" s="129"/>
      <c r="C50" s="129"/>
      <c r="D50" s="129"/>
      <c r="E50" s="130"/>
      <c r="F50" s="130"/>
      <c r="G50" s="130"/>
      <c r="H50" s="130"/>
      <c r="I50" s="130"/>
      <c r="J50" s="130"/>
      <c r="K50" s="130"/>
    </row>
    <row r="51" spans="1:11" s="131" customFormat="1" ht="12.75">
      <c r="A51" s="128"/>
      <c r="B51" s="129"/>
      <c r="C51" s="129"/>
      <c r="D51" s="129"/>
      <c r="E51" s="130"/>
      <c r="F51" s="130"/>
      <c r="G51" s="130"/>
      <c r="H51" s="130"/>
      <c r="I51" s="130"/>
      <c r="J51" s="130"/>
      <c r="K51" s="130"/>
    </row>
    <row r="52" spans="1:11" s="131" customFormat="1" ht="12.75">
      <c r="A52" s="128"/>
      <c r="B52" s="129"/>
      <c r="C52" s="129"/>
      <c r="D52" s="129"/>
      <c r="E52" s="130"/>
      <c r="F52" s="130"/>
      <c r="G52" s="130"/>
      <c r="H52" s="130"/>
      <c r="I52" s="130"/>
      <c r="J52" s="130"/>
      <c r="K52" s="130"/>
    </row>
    <row r="53" spans="1:7" ht="12.75">
      <c r="A53" s="153"/>
      <c r="B53" s="153"/>
      <c r="C53" s="153"/>
      <c r="D53" s="153"/>
      <c r="E53" s="153"/>
      <c r="F53" s="153"/>
      <c r="G53" s="153"/>
    </row>
    <row r="54" s="19" customFormat="1" ht="13.5" thickBot="1">
      <c r="A54" s="20" t="s">
        <v>126</v>
      </c>
    </row>
    <row r="55" spans="1:11" s="7" customFormat="1" ht="12.75">
      <c r="A55" s="120"/>
      <c r="B55" s="18"/>
      <c r="C55" s="18"/>
      <c r="D55" s="154"/>
      <c r="E55" s="154"/>
      <c r="F55" s="154"/>
      <c r="G55" s="154"/>
      <c r="H55" s="154"/>
      <c r="I55" s="154"/>
      <c r="J55" s="154"/>
      <c r="K55" s="154"/>
    </row>
    <row r="56" spans="1:11" s="7" customFormat="1" ht="12.75">
      <c r="A56" s="121" t="s">
        <v>0</v>
      </c>
      <c r="B56" s="2" t="s">
        <v>1</v>
      </c>
      <c r="C56" s="2" t="s">
        <v>2</v>
      </c>
      <c r="D56" s="155" t="s">
        <v>3</v>
      </c>
      <c r="E56" s="155"/>
      <c r="F56" s="155" t="s">
        <v>4</v>
      </c>
      <c r="G56" s="155"/>
      <c r="H56" s="155" t="s">
        <v>5</v>
      </c>
      <c r="I56" s="155"/>
      <c r="J56" s="155" t="s">
        <v>105</v>
      </c>
      <c r="K56" s="155"/>
    </row>
    <row r="57" spans="1:11" s="7" customFormat="1" ht="12.75">
      <c r="A57" s="113"/>
      <c r="B57" s="111"/>
      <c r="C57" s="111"/>
      <c r="D57" s="111" t="s">
        <v>6</v>
      </c>
      <c r="E57" s="111" t="s">
        <v>7</v>
      </c>
      <c r="F57" s="111" t="s">
        <v>6</v>
      </c>
      <c r="G57" s="111" t="s">
        <v>7</v>
      </c>
      <c r="H57" s="111" t="s">
        <v>6</v>
      </c>
      <c r="I57" s="111" t="s">
        <v>7</v>
      </c>
      <c r="J57" s="111"/>
      <c r="K57" s="111"/>
    </row>
    <row r="58" spans="1:11" s="7" customFormat="1" ht="12.75">
      <c r="A58" s="21" t="s">
        <v>91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2.75">
      <c r="A59" s="23" t="s">
        <v>92</v>
      </c>
      <c r="B59" s="22" t="s">
        <v>93</v>
      </c>
      <c r="C59" s="24">
        <v>12</v>
      </c>
      <c r="D59" s="24">
        <v>5</v>
      </c>
      <c r="E59" s="24">
        <f>D59*C59</f>
        <v>60</v>
      </c>
      <c r="F59" s="24">
        <v>13</v>
      </c>
      <c r="G59" s="24">
        <f>C59*F59</f>
        <v>156</v>
      </c>
      <c r="H59" s="22">
        <v>22</v>
      </c>
      <c r="I59" s="24">
        <f>C59*H59</f>
        <v>264</v>
      </c>
      <c r="J59" s="22">
        <v>40</v>
      </c>
      <c r="K59" s="24">
        <f>C59*J59</f>
        <v>480</v>
      </c>
    </row>
    <row r="60" spans="1:11" s="7" customFormat="1" ht="12.75">
      <c r="A60" s="116" t="s">
        <v>11</v>
      </c>
      <c r="B60" s="117"/>
      <c r="C60" s="118"/>
      <c r="D60" s="119"/>
      <c r="E60" s="119">
        <f>SUM(E59:E59)</f>
        <v>60</v>
      </c>
      <c r="F60" s="119"/>
      <c r="G60" s="119">
        <f>SUM(G59:G59)</f>
        <v>156</v>
      </c>
      <c r="H60" s="119"/>
      <c r="I60" s="119">
        <f>SUM(I59:I59)</f>
        <v>264</v>
      </c>
      <c r="J60" s="119"/>
      <c r="K60" s="119">
        <f>SUM(K59:K59)</f>
        <v>480</v>
      </c>
    </row>
    <row r="61" spans="1:11" s="7" customFormat="1" ht="12.75">
      <c r="A61" s="21" t="s">
        <v>94</v>
      </c>
      <c r="B61" s="32"/>
      <c r="C61" s="44"/>
      <c r="D61" s="33"/>
      <c r="E61" s="33"/>
      <c r="F61" s="33"/>
      <c r="G61" s="33"/>
      <c r="H61" s="32"/>
      <c r="I61" s="33"/>
      <c r="J61" s="32"/>
      <c r="K61" s="33"/>
    </row>
    <row r="62" spans="1:11" s="7" customFormat="1" ht="12.75">
      <c r="A62" s="21" t="s">
        <v>95</v>
      </c>
      <c r="B62" s="32"/>
      <c r="C62" s="44"/>
      <c r="D62" s="33"/>
      <c r="E62" s="33"/>
      <c r="F62" s="33"/>
      <c r="G62" s="33"/>
      <c r="H62" s="32"/>
      <c r="I62" s="33"/>
      <c r="J62" s="32"/>
      <c r="K62" s="33"/>
    </row>
    <row r="63" spans="1:11" ht="12.75">
      <c r="A63" s="23" t="s">
        <v>96</v>
      </c>
      <c r="B63" s="22" t="s">
        <v>18</v>
      </c>
      <c r="C63" s="24">
        <v>0.1</v>
      </c>
      <c r="D63" s="24">
        <v>84</v>
      </c>
      <c r="E63" s="24">
        <f aca="true" t="shared" si="5" ref="E63:E70">D63*C63</f>
        <v>8.4</v>
      </c>
      <c r="F63" s="30">
        <v>210</v>
      </c>
      <c r="G63" s="24">
        <f aca="true" t="shared" si="6" ref="G63:G70">C63*F63</f>
        <v>21</v>
      </c>
      <c r="H63" s="22">
        <v>378</v>
      </c>
      <c r="I63" s="24">
        <f aca="true" t="shared" si="7" ref="I63:I70">C63*H63</f>
        <v>37.800000000000004</v>
      </c>
      <c r="J63" s="22">
        <v>630</v>
      </c>
      <c r="K63" s="24">
        <f aca="true" t="shared" si="8" ref="K63:K70">C63*J63</f>
        <v>63</v>
      </c>
    </row>
    <row r="64" spans="1:11" ht="12.75">
      <c r="A64" s="23" t="s">
        <v>97</v>
      </c>
      <c r="B64" s="22" t="s">
        <v>18</v>
      </c>
      <c r="C64" s="24">
        <v>0.15</v>
      </c>
      <c r="D64" s="24">
        <v>84</v>
      </c>
      <c r="E64" s="24">
        <f t="shared" si="5"/>
        <v>12.6</v>
      </c>
      <c r="F64" s="30">
        <v>210</v>
      </c>
      <c r="G64" s="24">
        <f t="shared" si="6"/>
        <v>31.5</v>
      </c>
      <c r="H64" s="22">
        <v>378</v>
      </c>
      <c r="I64" s="24">
        <f t="shared" si="7"/>
        <v>56.699999999999996</v>
      </c>
      <c r="J64" s="22">
        <v>630</v>
      </c>
      <c r="K64" s="24">
        <f t="shared" si="8"/>
        <v>94.5</v>
      </c>
    </row>
    <row r="65" spans="1:11" s="7" customFormat="1" ht="12.75">
      <c r="A65" s="21" t="s">
        <v>115</v>
      </c>
      <c r="B65" s="32"/>
      <c r="C65" s="33"/>
      <c r="D65" s="33"/>
      <c r="E65" s="33"/>
      <c r="F65" s="48"/>
      <c r="G65" s="33"/>
      <c r="H65" s="32"/>
      <c r="I65" s="33"/>
      <c r="J65" s="32"/>
      <c r="K65" s="33"/>
    </row>
    <row r="66" spans="1:11" ht="12.75">
      <c r="A66" s="23" t="s">
        <v>116</v>
      </c>
      <c r="B66" s="22" t="s">
        <v>73</v>
      </c>
      <c r="C66" s="24">
        <v>0.8</v>
      </c>
      <c r="D66" s="24">
        <v>33.6</v>
      </c>
      <c r="E66" s="24">
        <f t="shared" si="5"/>
        <v>26.880000000000003</v>
      </c>
      <c r="F66" s="30">
        <v>84</v>
      </c>
      <c r="G66" s="24">
        <f t="shared" si="6"/>
        <v>67.2</v>
      </c>
      <c r="H66" s="22">
        <v>151.2</v>
      </c>
      <c r="I66" s="24">
        <f t="shared" si="7"/>
        <v>120.96</v>
      </c>
      <c r="J66" s="22">
        <v>252</v>
      </c>
      <c r="K66" s="24">
        <f t="shared" si="8"/>
        <v>201.60000000000002</v>
      </c>
    </row>
    <row r="67" spans="1:11" ht="12.75">
      <c r="A67" s="23" t="s">
        <v>114</v>
      </c>
      <c r="B67" s="22"/>
      <c r="C67" s="24"/>
      <c r="D67" s="24"/>
      <c r="E67" s="24"/>
      <c r="F67" s="30"/>
      <c r="G67" s="24"/>
      <c r="H67" s="22"/>
      <c r="I67" s="24"/>
      <c r="J67" s="22"/>
      <c r="K67" s="24"/>
    </row>
    <row r="68" spans="1:11" ht="12.75">
      <c r="A68" s="23" t="s">
        <v>86</v>
      </c>
      <c r="B68" s="22" t="s">
        <v>73</v>
      </c>
      <c r="C68" s="24">
        <v>0.65</v>
      </c>
      <c r="D68" s="24">
        <v>45</v>
      </c>
      <c r="E68" s="24">
        <f t="shared" si="5"/>
        <v>29.25</v>
      </c>
      <c r="F68" s="30">
        <v>75</v>
      </c>
      <c r="G68" s="24">
        <f t="shared" si="6"/>
        <v>48.75</v>
      </c>
      <c r="H68" s="22">
        <v>200</v>
      </c>
      <c r="I68" s="24">
        <f t="shared" si="7"/>
        <v>130</v>
      </c>
      <c r="J68" s="22">
        <v>330</v>
      </c>
      <c r="K68" s="24">
        <f t="shared" si="8"/>
        <v>214.5</v>
      </c>
    </row>
    <row r="69" spans="1:11" ht="12.75">
      <c r="A69" s="23" t="s">
        <v>98</v>
      </c>
      <c r="B69" s="22" t="s">
        <v>73</v>
      </c>
      <c r="C69" s="24">
        <v>11.8</v>
      </c>
      <c r="D69" s="24">
        <v>0.5</v>
      </c>
      <c r="E69" s="24">
        <f t="shared" si="5"/>
        <v>5.9</v>
      </c>
      <c r="F69" s="30">
        <v>1</v>
      </c>
      <c r="G69" s="24">
        <f t="shared" si="6"/>
        <v>11.8</v>
      </c>
      <c r="H69" s="22">
        <v>1</v>
      </c>
      <c r="I69" s="24">
        <f t="shared" si="7"/>
        <v>11.8</v>
      </c>
      <c r="J69" s="22">
        <v>1</v>
      </c>
      <c r="K69" s="24">
        <f t="shared" si="8"/>
        <v>11.8</v>
      </c>
    </row>
    <row r="70" spans="1:11" ht="12.75">
      <c r="A70" s="23" t="s">
        <v>99</v>
      </c>
      <c r="B70" s="22" t="s">
        <v>100</v>
      </c>
      <c r="C70" s="24">
        <v>60</v>
      </c>
      <c r="D70" s="24">
        <v>1</v>
      </c>
      <c r="E70" s="24">
        <f t="shared" si="5"/>
        <v>60</v>
      </c>
      <c r="F70" s="30">
        <v>2</v>
      </c>
      <c r="G70" s="24">
        <f t="shared" si="6"/>
        <v>120</v>
      </c>
      <c r="H70" s="22">
        <v>3</v>
      </c>
      <c r="I70" s="24">
        <f t="shared" si="7"/>
        <v>180</v>
      </c>
      <c r="J70" s="22">
        <v>5</v>
      </c>
      <c r="K70" s="24">
        <f t="shared" si="8"/>
        <v>300</v>
      </c>
    </row>
    <row r="71" spans="1:11" s="7" customFormat="1" ht="12.75">
      <c r="A71" s="116" t="s">
        <v>16</v>
      </c>
      <c r="B71" s="117"/>
      <c r="C71" s="119"/>
      <c r="D71" s="119"/>
      <c r="E71" s="119">
        <f>SUM(E64:E70)</f>
        <v>134.63</v>
      </c>
      <c r="F71" s="119"/>
      <c r="G71" s="119">
        <f>SUM(G64:G70)</f>
        <v>279.25</v>
      </c>
      <c r="H71" s="119"/>
      <c r="I71" s="119">
        <f>SUM(I64:I70)</f>
        <v>499.46</v>
      </c>
      <c r="J71" s="119"/>
      <c r="K71" s="119">
        <f>SUM(K64:K70)</f>
        <v>822.4</v>
      </c>
    </row>
    <row r="72" spans="1:11" s="7" customFormat="1" ht="12.75">
      <c r="A72" s="116" t="s">
        <v>20</v>
      </c>
      <c r="B72" s="117"/>
      <c r="C72" s="117"/>
      <c r="D72" s="117"/>
      <c r="E72" s="119">
        <f>E60+E71</f>
        <v>194.63</v>
      </c>
      <c r="F72" s="119"/>
      <c r="G72" s="119">
        <f>G60+G71</f>
        <v>435.25</v>
      </c>
      <c r="H72" s="119"/>
      <c r="I72" s="119">
        <f>I60+I71</f>
        <v>763.46</v>
      </c>
      <c r="J72" s="119"/>
      <c r="K72" s="119">
        <f>K60+K71</f>
        <v>1302.4</v>
      </c>
    </row>
    <row r="73" spans="1:11" s="7" customFormat="1" ht="12.75">
      <c r="A73" s="116" t="s">
        <v>104</v>
      </c>
      <c r="B73" s="117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1:11" ht="12.75">
      <c r="A74" s="23" t="s">
        <v>101</v>
      </c>
      <c r="B74" s="22"/>
      <c r="C74" s="22"/>
      <c r="D74" s="22"/>
      <c r="E74" s="24">
        <v>5</v>
      </c>
      <c r="F74" s="24"/>
      <c r="G74" s="24">
        <v>5</v>
      </c>
      <c r="H74" s="24"/>
      <c r="I74" s="24">
        <v>5</v>
      </c>
      <c r="J74" s="24"/>
      <c r="K74" s="24">
        <v>5</v>
      </c>
    </row>
    <row r="75" spans="1:11" ht="12.75">
      <c r="A75" s="23" t="s">
        <v>102</v>
      </c>
      <c r="B75" s="22"/>
      <c r="C75" s="22"/>
      <c r="D75" s="22"/>
      <c r="E75" s="24">
        <v>38</v>
      </c>
      <c r="F75" s="24"/>
      <c r="G75" s="24">
        <v>38</v>
      </c>
      <c r="H75" s="24"/>
      <c r="I75" s="24">
        <v>38</v>
      </c>
      <c r="J75" s="24"/>
      <c r="K75" s="24">
        <v>38</v>
      </c>
    </row>
    <row r="76" spans="1:11" ht="12.75">
      <c r="A76" s="23" t="s">
        <v>87</v>
      </c>
      <c r="B76" s="22"/>
      <c r="C76" s="22"/>
      <c r="D76" s="22"/>
      <c r="E76" s="24">
        <v>4</v>
      </c>
      <c r="F76" s="24"/>
      <c r="G76" s="24">
        <v>4</v>
      </c>
      <c r="H76" s="24"/>
      <c r="I76" s="24">
        <v>4</v>
      </c>
      <c r="J76" s="24"/>
      <c r="K76" s="24">
        <v>4</v>
      </c>
    </row>
    <row r="77" spans="1:11" ht="12.75">
      <c r="A77" s="23" t="s">
        <v>89</v>
      </c>
      <c r="B77" s="22"/>
      <c r="C77" s="22"/>
      <c r="D77" s="22"/>
      <c r="E77" s="22">
        <v>6.5</v>
      </c>
      <c r="F77" s="22"/>
      <c r="G77" s="22">
        <v>6.5</v>
      </c>
      <c r="H77" s="22"/>
      <c r="I77" s="24">
        <v>6.5</v>
      </c>
      <c r="J77" s="22"/>
      <c r="K77" s="22">
        <v>6.5</v>
      </c>
    </row>
    <row r="78" spans="1:11" ht="12.75">
      <c r="A78" s="23" t="s">
        <v>90</v>
      </c>
      <c r="B78" s="22"/>
      <c r="C78" s="22"/>
      <c r="D78" s="22"/>
      <c r="E78" s="22">
        <v>14.4</v>
      </c>
      <c r="F78" s="22"/>
      <c r="G78" s="22">
        <v>14.4</v>
      </c>
      <c r="H78" s="22"/>
      <c r="I78" s="22">
        <v>14.4</v>
      </c>
      <c r="J78" s="22"/>
      <c r="K78" s="22">
        <v>14.4</v>
      </c>
    </row>
    <row r="79" spans="1:11" ht="12.75">
      <c r="A79" s="23" t="s">
        <v>88</v>
      </c>
      <c r="B79" s="22"/>
      <c r="C79" s="22"/>
      <c r="D79" s="22"/>
      <c r="E79" s="22">
        <v>7.3</v>
      </c>
      <c r="F79" s="22"/>
      <c r="G79" s="22">
        <v>7.3</v>
      </c>
      <c r="H79" s="22"/>
      <c r="I79" s="22">
        <v>7.3</v>
      </c>
      <c r="J79" s="22"/>
      <c r="K79" s="22">
        <v>7.3</v>
      </c>
    </row>
    <row r="80" spans="1:11" ht="12.75">
      <c r="A80" s="29" t="s">
        <v>21</v>
      </c>
      <c r="B80" s="22"/>
      <c r="C80" s="22"/>
      <c r="D80" s="22"/>
      <c r="E80" s="43">
        <f>E72*0.05</f>
        <v>9.7315</v>
      </c>
      <c r="F80" s="22"/>
      <c r="G80" s="43">
        <f>G72*0.05</f>
        <v>21.762500000000003</v>
      </c>
      <c r="H80" s="22"/>
      <c r="I80" s="43">
        <f>I72*0.05</f>
        <v>38.173</v>
      </c>
      <c r="J80" s="22"/>
      <c r="K80" s="43">
        <f>K72*0.05</f>
        <v>65.12</v>
      </c>
    </row>
    <row r="81" spans="1:11" ht="12.75">
      <c r="A81" s="26" t="s">
        <v>36</v>
      </c>
      <c r="B81" s="22"/>
      <c r="C81" s="22"/>
      <c r="D81" s="22"/>
      <c r="E81" s="27">
        <f>E72/2*0.0875</f>
        <v>8.515062499999999</v>
      </c>
      <c r="F81" s="27"/>
      <c r="G81" s="27">
        <f>G72*0.044</f>
        <v>19.151</v>
      </c>
      <c r="H81" s="22"/>
      <c r="I81" s="24">
        <f>I72*0.0875</f>
        <v>66.80275</v>
      </c>
      <c r="J81" s="24"/>
      <c r="K81" s="24">
        <f>K72*0.0875</f>
        <v>113.96</v>
      </c>
    </row>
    <row r="82" spans="1:11" s="7" customFormat="1" ht="12.75">
      <c r="A82" s="122" t="s">
        <v>22</v>
      </c>
      <c r="B82" s="123"/>
      <c r="C82" s="123"/>
      <c r="D82" s="123"/>
      <c r="E82" s="124">
        <f>SUM(E72:E81)</f>
        <v>288.07656249999997</v>
      </c>
      <c r="F82" s="124"/>
      <c r="G82" s="124">
        <f>SUM(G72:G81)</f>
        <v>551.3634999999999</v>
      </c>
      <c r="H82" s="123"/>
      <c r="I82" s="124">
        <f>SUM(I72:I81)</f>
        <v>943.6357499999999</v>
      </c>
      <c r="J82" s="124"/>
      <c r="K82" s="124">
        <f>SUM(K72:K81)</f>
        <v>1556.6800000000003</v>
      </c>
    </row>
    <row r="83" spans="1:11" s="7" customFormat="1" ht="12.75">
      <c r="A83" s="125" t="s">
        <v>103</v>
      </c>
      <c r="B83" s="126"/>
      <c r="C83" s="126"/>
      <c r="D83" s="126"/>
      <c r="E83" s="127">
        <f>E82/88</f>
        <v>3.273597301136363</v>
      </c>
      <c r="F83" s="126"/>
      <c r="G83" s="127">
        <f>G82/220</f>
        <v>2.506197727272727</v>
      </c>
      <c r="H83" s="126"/>
      <c r="I83" s="127">
        <f>I82/397</f>
        <v>2.376916246851385</v>
      </c>
      <c r="J83" s="127"/>
      <c r="K83" s="127">
        <f>K82/663</f>
        <v>2.347933634992459</v>
      </c>
    </row>
    <row r="89" spans="1:7" ht="12.75">
      <c r="A89" s="156"/>
      <c r="B89" s="156"/>
      <c r="C89" s="156"/>
      <c r="D89" s="156"/>
      <c r="E89" s="156"/>
      <c r="F89" s="156"/>
      <c r="G89" s="156"/>
    </row>
    <row r="100" spans="3:7" ht="12.75">
      <c r="C100" s="17"/>
      <c r="D100" s="5"/>
      <c r="E100" s="5"/>
      <c r="F100" s="5"/>
      <c r="G100" s="5"/>
    </row>
    <row r="101" spans="3:7" ht="12.75">
      <c r="C101" s="17"/>
      <c r="D101" s="5"/>
      <c r="E101" s="5"/>
      <c r="F101" s="5"/>
      <c r="G101" s="5"/>
    </row>
    <row r="102" spans="3:7" ht="12.75">
      <c r="C102" s="17"/>
      <c r="D102" s="5"/>
      <c r="E102" s="5"/>
      <c r="F102" s="5"/>
      <c r="G102" s="5"/>
    </row>
    <row r="103" spans="3:7" ht="12.75">
      <c r="C103" s="17"/>
      <c r="D103" s="5"/>
      <c r="E103" s="5"/>
      <c r="F103" s="5"/>
      <c r="G103" s="5"/>
    </row>
    <row r="104" spans="3:7" ht="12.75">
      <c r="C104" s="17"/>
      <c r="D104" s="5"/>
      <c r="E104" s="5"/>
      <c r="F104" s="5"/>
      <c r="G104" s="5"/>
    </row>
    <row r="105" spans="3:7" ht="12.75">
      <c r="C105" s="17"/>
      <c r="D105" s="5"/>
      <c r="E105" s="5"/>
      <c r="G105" s="5"/>
    </row>
    <row r="106" spans="3:7" ht="12.75">
      <c r="C106" s="17"/>
      <c r="D106" s="5"/>
      <c r="E106" s="5"/>
      <c r="G106" s="5"/>
    </row>
    <row r="107" spans="3:7" ht="12.75">
      <c r="C107" s="17"/>
      <c r="D107" s="5"/>
      <c r="E107" s="5"/>
      <c r="G107" s="5"/>
    </row>
    <row r="108" spans="3:7" ht="12.75">
      <c r="C108" s="17"/>
      <c r="D108" s="5"/>
      <c r="E108" s="5"/>
      <c r="G108" s="5"/>
    </row>
    <row r="109" spans="3:7" ht="12.75">
      <c r="C109" s="17"/>
      <c r="D109" s="5"/>
      <c r="E109" s="5"/>
      <c r="G109" s="5"/>
    </row>
  </sheetData>
  <sheetProtection/>
  <mergeCells count="14">
    <mergeCell ref="A89:G89"/>
    <mergeCell ref="D3:E3"/>
    <mergeCell ref="F3:G3"/>
    <mergeCell ref="D2:G2"/>
    <mergeCell ref="D55:G55"/>
    <mergeCell ref="H2:K2"/>
    <mergeCell ref="H3:I3"/>
    <mergeCell ref="J3:K3"/>
    <mergeCell ref="A53:G53"/>
    <mergeCell ref="H55:K55"/>
    <mergeCell ref="D56:E56"/>
    <mergeCell ref="F56:G56"/>
    <mergeCell ref="H56:I56"/>
    <mergeCell ref="J56:K56"/>
  </mergeCells>
  <printOptions/>
  <pageMargins left="0.7874015748031497" right="0.4724409448818898" top="0.1968503937007874" bottom="0.1968503937007874" header="0.1968503937007874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R78"/>
  <sheetViews>
    <sheetView zoomScalePageLayoutView="0" workbookViewId="0" topLeftCell="A42">
      <selection activeCell="C72" sqref="C72"/>
    </sheetView>
  </sheetViews>
  <sheetFormatPr defaultColWidth="9.140625" defaultRowHeight="12.75"/>
  <cols>
    <col min="1" max="1" width="17.28125" style="50" customWidth="1"/>
    <col min="2" max="16" width="7.140625" style="50" customWidth="1"/>
    <col min="17" max="17" width="7.8515625" style="50" customWidth="1"/>
    <col min="18" max="16384" width="9.140625" style="50" customWidth="1"/>
  </cols>
  <sheetData>
    <row r="9" spans="3:8" ht="11.25">
      <c r="C9" s="51"/>
      <c r="D9" s="51"/>
      <c r="E9" s="51"/>
      <c r="F9" s="51"/>
      <c r="G9" s="51"/>
      <c r="H9" s="51"/>
    </row>
    <row r="10" spans="3:8" ht="11.25">
      <c r="C10" s="52"/>
      <c r="D10" s="52"/>
      <c r="E10" s="52"/>
      <c r="F10" s="52"/>
      <c r="G10" s="52"/>
      <c r="H10" s="52"/>
    </row>
    <row r="11" spans="10:11" ht="11.25">
      <c r="J11" s="53"/>
      <c r="K11" s="53"/>
    </row>
    <row r="12" spans="1:11" ht="11.25">
      <c r="A12" s="160"/>
      <c r="B12" s="160"/>
      <c r="C12" s="160"/>
      <c r="D12" s="160"/>
      <c r="E12" s="160"/>
      <c r="F12" s="160"/>
      <c r="G12" s="160"/>
      <c r="H12" s="160"/>
      <c r="I12" s="160"/>
      <c r="J12" s="53"/>
      <c r="K12" s="53"/>
    </row>
    <row r="13" spans="1:17" ht="12.75" thickBot="1">
      <c r="A13" s="31" t="s">
        <v>131</v>
      </c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56"/>
      <c r="M13" s="56"/>
      <c r="N13" s="56"/>
      <c r="O13" s="56"/>
      <c r="P13" s="56"/>
      <c r="Q13" s="56"/>
    </row>
    <row r="14" spans="1:17" ht="11.25">
      <c r="A14" s="64" t="s">
        <v>52</v>
      </c>
      <c r="B14" s="158"/>
      <c r="C14" s="158"/>
      <c r="D14" s="158"/>
      <c r="E14" s="158"/>
      <c r="F14" s="158"/>
      <c r="G14" s="158"/>
      <c r="H14" s="158"/>
      <c r="I14" s="158"/>
      <c r="J14" s="159"/>
      <c r="K14" s="65"/>
      <c r="L14" s="57"/>
      <c r="M14" s="57"/>
      <c r="N14" s="57"/>
      <c r="O14" s="57"/>
      <c r="P14" s="57"/>
      <c r="Q14" s="57"/>
    </row>
    <row r="15" spans="1:17" ht="12" thickBot="1">
      <c r="A15" s="66"/>
      <c r="B15" s="67">
        <v>0</v>
      </c>
      <c r="C15" s="67">
        <v>1</v>
      </c>
      <c r="D15" s="67">
        <v>2</v>
      </c>
      <c r="E15" s="67">
        <v>3</v>
      </c>
      <c r="F15" s="67">
        <v>4</v>
      </c>
      <c r="G15" s="67">
        <v>5</v>
      </c>
      <c r="H15" s="67">
        <v>6</v>
      </c>
      <c r="I15" s="67">
        <v>7</v>
      </c>
      <c r="J15" s="67">
        <v>8</v>
      </c>
      <c r="K15" s="67">
        <v>9</v>
      </c>
      <c r="L15" s="67">
        <v>10</v>
      </c>
      <c r="M15" s="67">
        <v>11</v>
      </c>
      <c r="N15" s="67">
        <v>12</v>
      </c>
      <c r="O15" s="67">
        <v>13</v>
      </c>
      <c r="P15" s="67">
        <v>14</v>
      </c>
      <c r="Q15" s="67">
        <v>15</v>
      </c>
    </row>
    <row r="16" spans="1:17" ht="12">
      <c r="A16" s="84" t="s">
        <v>110</v>
      </c>
      <c r="B16" s="8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76"/>
      <c r="O16" s="75"/>
      <c r="P16" s="75"/>
      <c r="Q16" s="75"/>
    </row>
    <row r="17" spans="1:17" ht="12">
      <c r="A17" s="84" t="s">
        <v>107</v>
      </c>
      <c r="B17" s="8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76"/>
      <c r="O17" s="75"/>
      <c r="P17" s="75"/>
      <c r="Q17" s="75"/>
    </row>
    <row r="18" spans="1:17" ht="12">
      <c r="A18" s="85" t="s">
        <v>53</v>
      </c>
      <c r="B18" s="77"/>
      <c r="C18" s="75">
        <v>170</v>
      </c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  <c r="O18" s="75"/>
      <c r="P18" s="75"/>
      <c r="Q18" s="75"/>
    </row>
    <row r="19" spans="1:17" ht="12">
      <c r="A19" s="85" t="s">
        <v>23</v>
      </c>
      <c r="B19" s="77"/>
      <c r="C19" s="75">
        <v>281.33</v>
      </c>
      <c r="D19" s="75">
        <v>247.7</v>
      </c>
      <c r="E19" s="75">
        <v>543.21</v>
      </c>
      <c r="F19" s="75"/>
      <c r="G19" s="75"/>
      <c r="H19" s="75"/>
      <c r="I19" s="75"/>
      <c r="J19" s="75"/>
      <c r="K19" s="75"/>
      <c r="L19" s="75"/>
      <c r="M19" s="76"/>
      <c r="N19" s="76"/>
      <c r="O19" s="75"/>
      <c r="P19" s="75"/>
      <c r="Q19" s="75"/>
    </row>
    <row r="20" spans="1:17" ht="12">
      <c r="A20" s="84" t="s">
        <v>54</v>
      </c>
      <c r="B20" s="77"/>
      <c r="C20" s="75">
        <f>SUM(C18:C19)</f>
        <v>451.33</v>
      </c>
      <c r="D20" s="75">
        <f>SUM(D18:D19)</f>
        <v>247.7</v>
      </c>
      <c r="E20" s="75">
        <f>SUM(E18:E19)</f>
        <v>543.21</v>
      </c>
      <c r="F20" s="75"/>
      <c r="G20" s="75"/>
      <c r="H20" s="75"/>
      <c r="I20" s="75"/>
      <c r="J20" s="75"/>
      <c r="K20" s="75"/>
      <c r="L20" s="75"/>
      <c r="M20" s="76"/>
      <c r="N20" s="76"/>
      <c r="O20" s="75"/>
      <c r="P20" s="75"/>
      <c r="Q20" s="75"/>
    </row>
    <row r="21" spans="1:17" ht="12">
      <c r="A21" s="84" t="s">
        <v>108</v>
      </c>
      <c r="B21" s="77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76"/>
      <c r="O21" s="75"/>
      <c r="P21" s="75"/>
      <c r="Q21" s="75"/>
    </row>
    <row r="22" spans="1:17" ht="12">
      <c r="A22" s="85" t="s">
        <v>106</v>
      </c>
      <c r="B22" s="77"/>
      <c r="C22" s="75"/>
      <c r="D22" s="75"/>
      <c r="E22" s="75"/>
      <c r="F22" s="75">
        <v>735.11</v>
      </c>
      <c r="G22" s="75">
        <v>735.11</v>
      </c>
      <c r="H22" s="75">
        <v>735.11</v>
      </c>
      <c r="I22" s="75">
        <v>735.11</v>
      </c>
      <c r="J22" s="75">
        <v>735.11</v>
      </c>
      <c r="K22" s="75">
        <v>735.11</v>
      </c>
      <c r="L22" s="75">
        <v>735.11</v>
      </c>
      <c r="M22" s="75">
        <v>735.11</v>
      </c>
      <c r="N22" s="75">
        <v>735.11</v>
      </c>
      <c r="O22" s="75">
        <v>735.11</v>
      </c>
      <c r="P22" s="75">
        <v>735.11</v>
      </c>
      <c r="Q22" s="75">
        <v>735.11</v>
      </c>
    </row>
    <row r="23" spans="1:17" ht="12">
      <c r="A23" s="86" t="s">
        <v>109</v>
      </c>
      <c r="B23" s="78"/>
      <c r="C23" s="87">
        <f>-C20</f>
        <v>-451.33</v>
      </c>
      <c r="D23" s="87">
        <f>-D20</f>
        <v>-247.7</v>
      </c>
      <c r="E23" s="87">
        <f>-E20</f>
        <v>-543.21</v>
      </c>
      <c r="F23" s="87">
        <f aca="true" t="shared" si="0" ref="F23:K23">-F22</f>
        <v>-735.11</v>
      </c>
      <c r="G23" s="87">
        <f t="shared" si="0"/>
        <v>-735.11</v>
      </c>
      <c r="H23" s="87">
        <f t="shared" si="0"/>
        <v>-735.11</v>
      </c>
      <c r="I23" s="87">
        <f t="shared" si="0"/>
        <v>-735.11</v>
      </c>
      <c r="J23" s="87">
        <f t="shared" si="0"/>
        <v>-735.11</v>
      </c>
      <c r="K23" s="87">
        <f t="shared" si="0"/>
        <v>-735.11</v>
      </c>
      <c r="L23" s="87">
        <f aca="true" t="shared" si="1" ref="L23:Q23">-L22</f>
        <v>-735.11</v>
      </c>
      <c r="M23" s="87">
        <f t="shared" si="1"/>
        <v>-735.11</v>
      </c>
      <c r="N23" s="87">
        <f t="shared" si="1"/>
        <v>-735.11</v>
      </c>
      <c r="O23" s="87">
        <f t="shared" si="1"/>
        <v>-735.11</v>
      </c>
      <c r="P23" s="87">
        <f t="shared" si="1"/>
        <v>-735.11</v>
      </c>
      <c r="Q23" s="87">
        <f t="shared" si="1"/>
        <v>-735.11</v>
      </c>
    </row>
    <row r="24" spans="1:17" ht="12">
      <c r="A24" s="84" t="s">
        <v>111</v>
      </c>
      <c r="B24" s="77"/>
      <c r="C24" s="75">
        <v>153</v>
      </c>
      <c r="D24" s="75">
        <v>382.2</v>
      </c>
      <c r="E24" s="75">
        <v>687.96</v>
      </c>
      <c r="F24" s="75">
        <v>1146.6</v>
      </c>
      <c r="G24" s="75">
        <v>1146.6</v>
      </c>
      <c r="H24" s="75">
        <v>1146.6</v>
      </c>
      <c r="I24" s="75">
        <v>1146.6</v>
      </c>
      <c r="J24" s="75">
        <v>1146.6</v>
      </c>
      <c r="K24" s="75">
        <v>1146.6</v>
      </c>
      <c r="L24" s="75">
        <v>1147.6</v>
      </c>
      <c r="M24" s="75">
        <v>1148.6</v>
      </c>
      <c r="N24" s="75">
        <v>1149.6</v>
      </c>
      <c r="O24" s="75">
        <v>1150.6</v>
      </c>
      <c r="P24" s="75">
        <v>1151.6</v>
      </c>
      <c r="Q24" s="75">
        <v>1146.6</v>
      </c>
    </row>
    <row r="25" spans="1:17" ht="12">
      <c r="A25" s="84" t="s">
        <v>112</v>
      </c>
      <c r="B25" s="77"/>
      <c r="C25" s="75">
        <f>C24+C23</f>
        <v>-298.33</v>
      </c>
      <c r="D25" s="75">
        <f>D23+D24</f>
        <v>134.5</v>
      </c>
      <c r="E25" s="75">
        <f aca="true" t="shared" si="2" ref="E25:K25">E24+E23</f>
        <v>144.75</v>
      </c>
      <c r="F25" s="75">
        <f t="shared" si="2"/>
        <v>411.4899999999999</v>
      </c>
      <c r="G25" s="75">
        <f t="shared" si="2"/>
        <v>411.4899999999999</v>
      </c>
      <c r="H25" s="75">
        <f t="shared" si="2"/>
        <v>411.4899999999999</v>
      </c>
      <c r="I25" s="75">
        <f t="shared" si="2"/>
        <v>411.4899999999999</v>
      </c>
      <c r="J25" s="75">
        <f t="shared" si="2"/>
        <v>411.4899999999999</v>
      </c>
      <c r="K25" s="75">
        <f t="shared" si="2"/>
        <v>411.4899999999999</v>
      </c>
      <c r="L25" s="75">
        <f aca="true" t="shared" si="3" ref="L25:Q25">L24+L23</f>
        <v>412.4899999999999</v>
      </c>
      <c r="M25" s="75">
        <f t="shared" si="3"/>
        <v>413.4899999999999</v>
      </c>
      <c r="N25" s="75">
        <f t="shared" si="3"/>
        <v>414.4899999999999</v>
      </c>
      <c r="O25" s="75">
        <f t="shared" si="3"/>
        <v>415.4899999999999</v>
      </c>
      <c r="P25" s="75">
        <f t="shared" si="3"/>
        <v>416.4899999999999</v>
      </c>
      <c r="Q25" s="75">
        <f t="shared" si="3"/>
        <v>411.4899999999999</v>
      </c>
    </row>
    <row r="26" spans="1:17" ht="12">
      <c r="A26" s="84" t="s">
        <v>113</v>
      </c>
      <c r="B26" s="77"/>
      <c r="C26" s="75"/>
      <c r="D26" s="75">
        <f>D25+C25</f>
        <v>-163.82999999999998</v>
      </c>
      <c r="E26" s="75">
        <f>C25+D25+E25</f>
        <v>-19.079999999999984</v>
      </c>
      <c r="F26" s="75">
        <f>F25+E25+D25+C25</f>
        <v>392.4099999999999</v>
      </c>
      <c r="G26" s="75">
        <f>G25+F25+E25+D25+C25</f>
        <v>803.8999999999999</v>
      </c>
      <c r="H26" s="75">
        <f>H25+G25+F25+E25+D25+C25</f>
        <v>1215.3899999999999</v>
      </c>
      <c r="I26" s="75">
        <f>I25+H25+G25+F25+E25+D25+C25</f>
        <v>1626.8799999999997</v>
      </c>
      <c r="J26" s="75">
        <f aca="true" t="shared" si="4" ref="J26:P26">J25+I25+H25+G25+F25+E25+D25+C25</f>
        <v>2038.3699999999994</v>
      </c>
      <c r="K26" s="75">
        <f t="shared" si="4"/>
        <v>2748.189999999999</v>
      </c>
      <c r="L26" s="75">
        <f t="shared" si="4"/>
        <v>3026.179999999999</v>
      </c>
      <c r="M26" s="75">
        <f t="shared" si="4"/>
        <v>3294.9199999999987</v>
      </c>
      <c r="N26" s="75">
        <f t="shared" si="4"/>
        <v>3297.9199999999987</v>
      </c>
      <c r="O26" s="75">
        <f t="shared" si="4"/>
        <v>3301.9199999999987</v>
      </c>
      <c r="P26" s="75">
        <f t="shared" si="4"/>
        <v>3306.9199999999987</v>
      </c>
      <c r="Q26" s="75">
        <f>Q25+K25+J25+I25+H25+G25+F25+E25</f>
        <v>3025.179999999999</v>
      </c>
    </row>
    <row r="27" spans="1:17" ht="12">
      <c r="A27" s="84" t="s">
        <v>55</v>
      </c>
      <c r="B27" s="88"/>
      <c r="C27" s="75"/>
      <c r="D27" s="79"/>
      <c r="E27" s="75"/>
      <c r="F27" s="75"/>
      <c r="G27" s="75"/>
      <c r="H27" s="75"/>
      <c r="I27" s="75"/>
      <c r="J27" s="75"/>
      <c r="K27" s="75"/>
      <c r="L27" s="75"/>
      <c r="M27" s="76"/>
      <c r="N27" s="76"/>
      <c r="O27" s="75"/>
      <c r="P27" s="75"/>
      <c r="Q27" s="79">
        <f>NPV(6%,C25:Q25)</f>
        <v>2863.561403885291</v>
      </c>
    </row>
    <row r="28" spans="1:17" ht="12">
      <c r="A28" s="84" t="s">
        <v>56</v>
      </c>
      <c r="B28" s="85"/>
      <c r="C28" s="80"/>
      <c r="D28" s="80"/>
      <c r="E28" s="80"/>
      <c r="F28" s="80"/>
      <c r="G28" s="80"/>
      <c r="H28" s="80"/>
      <c r="I28" s="89"/>
      <c r="J28" s="89"/>
      <c r="K28" s="90"/>
      <c r="L28" s="80"/>
      <c r="M28" s="81"/>
      <c r="N28" s="81"/>
      <c r="O28" s="80"/>
      <c r="P28" s="80"/>
      <c r="Q28" s="82">
        <f>IRR(C25:Q25,6%)</f>
        <v>0.7589333551332913</v>
      </c>
    </row>
    <row r="29" spans="1:17" ht="12.75" thickBot="1">
      <c r="A29" s="91" t="s">
        <v>57</v>
      </c>
      <c r="B29" s="92"/>
      <c r="C29" s="93"/>
      <c r="D29" s="93"/>
      <c r="E29" s="93"/>
      <c r="F29" s="93"/>
      <c r="G29" s="93"/>
      <c r="H29" s="93"/>
      <c r="I29" s="94"/>
      <c r="J29" s="95"/>
      <c r="K29" s="96"/>
      <c r="L29" s="96"/>
      <c r="M29" s="96"/>
      <c r="N29" s="96"/>
      <c r="O29" s="96"/>
      <c r="P29" s="96"/>
      <c r="Q29" s="83">
        <v>4</v>
      </c>
    </row>
    <row r="30" spans="1:11" ht="11.25">
      <c r="A30" s="16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1.25">
      <c r="A31" s="16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1.25">
      <c r="A32" s="16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1.25">
      <c r="A33" s="16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1.25">
      <c r="A34" s="16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1.25">
      <c r="A35" s="16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1.25">
      <c r="A36" s="16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1.25">
      <c r="A37" s="16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1.25">
      <c r="A38" s="16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11.25">
      <c r="A39" s="16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1.25">
      <c r="A40" s="16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1.25">
      <c r="A41" s="16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1.25">
      <c r="A42" s="16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1.25">
      <c r="A43" s="16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1.25">
      <c r="A44" s="16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1.25">
      <c r="A45" s="16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9" ht="11.25">
      <c r="A46" s="163"/>
      <c r="B46" s="163"/>
      <c r="C46" s="163"/>
      <c r="D46" s="163"/>
      <c r="E46" s="163"/>
      <c r="F46" s="163"/>
      <c r="G46" s="163"/>
      <c r="H46" s="163"/>
      <c r="I46" s="163"/>
    </row>
    <row r="47" spans="1:9" ht="11.25">
      <c r="A47" s="157"/>
      <c r="B47" s="157"/>
      <c r="C47" s="157"/>
      <c r="D47" s="157"/>
      <c r="E47" s="157"/>
      <c r="F47" s="157"/>
      <c r="G47" s="157"/>
      <c r="H47" s="157"/>
      <c r="I47" s="157"/>
    </row>
    <row r="48" spans="1:18" ht="11.2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</row>
    <row r="49" spans="1:18" ht="11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ht="11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6" spans="1:10" ht="12" thickBot="1">
      <c r="A56" s="97" t="s">
        <v>132</v>
      </c>
      <c r="J56" s="56"/>
    </row>
    <row r="57" spans="1:17" ht="11.25">
      <c r="A57" s="105" t="s">
        <v>52</v>
      </c>
      <c r="B57" s="161"/>
      <c r="C57" s="161"/>
      <c r="D57" s="161"/>
      <c r="E57" s="161"/>
      <c r="F57" s="161"/>
      <c r="G57" s="161"/>
      <c r="H57" s="161"/>
      <c r="I57" s="161"/>
      <c r="J57" s="162"/>
      <c r="K57" s="58"/>
      <c r="L57" s="58"/>
      <c r="M57" s="58"/>
      <c r="N57" s="58"/>
      <c r="O57" s="58"/>
      <c r="P57" s="58"/>
      <c r="Q57" s="58"/>
    </row>
    <row r="58" spans="1:17" ht="12" thickBot="1">
      <c r="A58" s="59"/>
      <c r="B58" s="60">
        <v>0</v>
      </c>
      <c r="C58" s="60">
        <v>1</v>
      </c>
      <c r="D58" s="60">
        <v>2</v>
      </c>
      <c r="E58" s="60">
        <v>3</v>
      </c>
      <c r="F58" s="60">
        <v>4</v>
      </c>
      <c r="G58" s="60">
        <v>5</v>
      </c>
      <c r="H58" s="60">
        <v>6</v>
      </c>
      <c r="I58" s="60">
        <v>7</v>
      </c>
      <c r="J58" s="60">
        <v>8</v>
      </c>
      <c r="K58" s="61">
        <v>9</v>
      </c>
      <c r="L58" s="61">
        <v>10</v>
      </c>
      <c r="M58" s="61">
        <v>11</v>
      </c>
      <c r="N58" s="61">
        <v>12</v>
      </c>
      <c r="O58" s="61">
        <v>13</v>
      </c>
      <c r="P58" s="61">
        <v>14</v>
      </c>
      <c r="Q58" s="61">
        <v>15</v>
      </c>
    </row>
    <row r="59" spans="1:18" ht="11.25">
      <c r="A59" s="74" t="s">
        <v>110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3"/>
      <c r="N59" s="73"/>
      <c r="O59" s="72"/>
      <c r="P59" s="72"/>
      <c r="Q59" s="72"/>
      <c r="R59" s="68"/>
    </row>
    <row r="60" spans="1:18" ht="11.25">
      <c r="A60" s="74" t="s">
        <v>107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3"/>
      <c r="N60" s="73"/>
      <c r="O60" s="72"/>
      <c r="P60" s="72"/>
      <c r="Q60" s="72"/>
      <c r="R60" s="68"/>
    </row>
    <row r="61" spans="1:18" ht="11.25">
      <c r="A61" s="74" t="s">
        <v>123</v>
      </c>
      <c r="B61" s="72">
        <v>450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3"/>
      <c r="N61" s="73"/>
      <c r="O61" s="72"/>
      <c r="P61" s="72"/>
      <c r="Q61" s="72"/>
      <c r="R61" s="68"/>
    </row>
    <row r="62" spans="1:18" ht="11.25">
      <c r="A62" s="74" t="s">
        <v>118</v>
      </c>
      <c r="B62" s="72">
        <v>72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3"/>
      <c r="N62" s="73"/>
      <c r="O62" s="72"/>
      <c r="P62" s="72"/>
      <c r="Q62" s="72"/>
      <c r="R62" s="68"/>
    </row>
    <row r="63" spans="1:18" ht="11.25">
      <c r="A63" s="74" t="s">
        <v>119</v>
      </c>
      <c r="B63" s="72">
        <v>32.5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3"/>
      <c r="N63" s="73"/>
      <c r="O63" s="72"/>
      <c r="P63" s="72"/>
      <c r="Q63" s="72"/>
      <c r="R63" s="68"/>
    </row>
    <row r="64" spans="1:18" ht="11.25">
      <c r="A64" s="74" t="s">
        <v>120</v>
      </c>
      <c r="B64" s="72">
        <v>72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73"/>
      <c r="O64" s="72"/>
      <c r="P64" s="72"/>
      <c r="Q64" s="72"/>
      <c r="R64" s="68"/>
    </row>
    <row r="65" spans="1:18" ht="11.25">
      <c r="A65" s="74" t="s">
        <v>121</v>
      </c>
      <c r="B65" s="72">
        <v>40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3"/>
      <c r="N65" s="73"/>
      <c r="O65" s="72"/>
      <c r="P65" s="72"/>
      <c r="Q65" s="72"/>
      <c r="R65" s="68"/>
    </row>
    <row r="66" spans="1:18" ht="11.25">
      <c r="A66" s="74" t="s">
        <v>122</v>
      </c>
      <c r="B66" s="72">
        <v>43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3"/>
      <c r="N66" s="73"/>
      <c r="O66" s="72"/>
      <c r="P66" s="72"/>
      <c r="Q66" s="72"/>
      <c r="R66" s="68"/>
    </row>
    <row r="67" spans="1:18" ht="11.25">
      <c r="A67" s="74" t="s">
        <v>117</v>
      </c>
      <c r="B67" s="72">
        <v>27</v>
      </c>
      <c r="C67" s="72">
        <v>67.2</v>
      </c>
      <c r="D67" s="72">
        <v>121</v>
      </c>
      <c r="E67" s="72">
        <v>202</v>
      </c>
      <c r="F67" s="72"/>
      <c r="G67" s="72"/>
      <c r="H67" s="72"/>
      <c r="I67" s="72"/>
      <c r="J67" s="72"/>
      <c r="K67" s="72"/>
      <c r="L67" s="72"/>
      <c r="M67" s="73"/>
      <c r="N67" s="73"/>
      <c r="O67" s="72"/>
      <c r="P67" s="72"/>
      <c r="Q67" s="72"/>
      <c r="R67" s="68"/>
    </row>
    <row r="68" spans="1:18" ht="11.25">
      <c r="A68" s="74" t="s">
        <v>54</v>
      </c>
      <c r="B68" s="72">
        <f>SUM(B60:B67)</f>
        <v>736.5</v>
      </c>
      <c r="C68" s="72">
        <f>SUM(C67:C67)</f>
        <v>67.2</v>
      </c>
      <c r="D68" s="72">
        <f>SUM(D67:D67)</f>
        <v>121</v>
      </c>
      <c r="E68" s="72">
        <f>SUM(E67:E67)</f>
        <v>202</v>
      </c>
      <c r="F68" s="72"/>
      <c r="G68" s="72"/>
      <c r="H68" s="72"/>
      <c r="I68" s="72"/>
      <c r="J68" s="72"/>
      <c r="K68" s="72"/>
      <c r="L68" s="72"/>
      <c r="M68" s="73"/>
      <c r="N68" s="73"/>
      <c r="O68" s="72"/>
      <c r="P68" s="72"/>
      <c r="Q68" s="72"/>
      <c r="R68" s="68"/>
    </row>
    <row r="69" spans="1:18" ht="11.25">
      <c r="A69" s="74" t="s">
        <v>108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3"/>
      <c r="N69" s="73"/>
      <c r="O69" s="72"/>
      <c r="P69" s="72"/>
      <c r="Q69" s="72"/>
      <c r="R69" s="68"/>
    </row>
    <row r="70" spans="1:18" ht="11.25">
      <c r="A70" s="74" t="s">
        <v>125</v>
      </c>
      <c r="B70" s="72">
        <v>288.08</v>
      </c>
      <c r="C70" s="72">
        <v>551.36</v>
      </c>
      <c r="D70" s="72">
        <v>943.64</v>
      </c>
      <c r="E70" s="72">
        <v>1556.68</v>
      </c>
      <c r="F70" s="72">
        <v>1556.68</v>
      </c>
      <c r="G70" s="72">
        <v>1556.68</v>
      </c>
      <c r="H70" s="72">
        <v>1556.68</v>
      </c>
      <c r="I70" s="72">
        <v>1556.68</v>
      </c>
      <c r="J70" s="72">
        <v>1556.68</v>
      </c>
      <c r="K70" s="72">
        <v>1556.68</v>
      </c>
      <c r="L70" s="72">
        <v>1556.68</v>
      </c>
      <c r="M70" s="72">
        <v>1556.68</v>
      </c>
      <c r="N70" s="72">
        <v>1556.68</v>
      </c>
      <c r="O70" s="72">
        <v>1556.68</v>
      </c>
      <c r="P70" s="72">
        <v>1556.68</v>
      </c>
      <c r="Q70" s="72">
        <v>1556.68</v>
      </c>
      <c r="R70" s="68"/>
    </row>
    <row r="71" spans="1:18" ht="11.25">
      <c r="A71" s="108" t="s">
        <v>109</v>
      </c>
      <c r="B71" s="109">
        <f>-(B68+B70)</f>
        <v>-1024.58</v>
      </c>
      <c r="C71" s="109">
        <f>-(C68+C70)</f>
        <v>-618.5600000000001</v>
      </c>
      <c r="D71" s="109">
        <f>-(D68+D70)</f>
        <v>-1064.6399999999999</v>
      </c>
      <c r="E71" s="109">
        <f>-(E68+E70)</f>
        <v>-1758.68</v>
      </c>
      <c r="F71" s="109">
        <f aca="true" t="shared" si="5" ref="F71:K71">-F70</f>
        <v>-1556.68</v>
      </c>
      <c r="G71" s="109">
        <f t="shared" si="5"/>
        <v>-1556.68</v>
      </c>
      <c r="H71" s="109">
        <f t="shared" si="5"/>
        <v>-1556.68</v>
      </c>
      <c r="I71" s="109">
        <f t="shared" si="5"/>
        <v>-1556.68</v>
      </c>
      <c r="J71" s="109">
        <f t="shared" si="5"/>
        <v>-1556.68</v>
      </c>
      <c r="K71" s="109">
        <f t="shared" si="5"/>
        <v>-1556.68</v>
      </c>
      <c r="L71" s="109">
        <f aca="true" t="shared" si="6" ref="L71:Q71">-L70</f>
        <v>-1556.68</v>
      </c>
      <c r="M71" s="109">
        <f t="shared" si="6"/>
        <v>-1556.68</v>
      </c>
      <c r="N71" s="109">
        <f t="shared" si="6"/>
        <v>-1556.68</v>
      </c>
      <c r="O71" s="109">
        <f t="shared" si="6"/>
        <v>-1556.68</v>
      </c>
      <c r="P71" s="109">
        <f t="shared" si="6"/>
        <v>-1556.68</v>
      </c>
      <c r="Q71" s="109">
        <f t="shared" si="6"/>
        <v>-1556.68</v>
      </c>
      <c r="R71" s="68"/>
    </row>
    <row r="72" spans="1:18" ht="11.25">
      <c r="A72" s="74" t="s">
        <v>111</v>
      </c>
      <c r="B72" s="72">
        <v>308</v>
      </c>
      <c r="C72" s="72">
        <v>770</v>
      </c>
      <c r="D72" s="72">
        <v>1386</v>
      </c>
      <c r="E72" s="72">
        <v>2320</v>
      </c>
      <c r="F72" s="72">
        <v>2320</v>
      </c>
      <c r="G72" s="72">
        <v>2320</v>
      </c>
      <c r="H72" s="72">
        <v>2320</v>
      </c>
      <c r="I72" s="72">
        <v>2320</v>
      </c>
      <c r="J72" s="72">
        <v>2320</v>
      </c>
      <c r="K72" s="72">
        <v>2320</v>
      </c>
      <c r="L72" s="72">
        <v>2320</v>
      </c>
      <c r="M72" s="72">
        <v>2320</v>
      </c>
      <c r="N72" s="72">
        <v>2320</v>
      </c>
      <c r="O72" s="72">
        <v>2320</v>
      </c>
      <c r="P72" s="72">
        <v>2320</v>
      </c>
      <c r="Q72" s="72">
        <v>2320</v>
      </c>
      <c r="R72" s="68"/>
    </row>
    <row r="73" spans="1:18" ht="11.25">
      <c r="A73" s="74" t="s">
        <v>112</v>
      </c>
      <c r="B73" s="72">
        <f>B72+B71</f>
        <v>-716.5799999999999</v>
      </c>
      <c r="C73" s="72">
        <f>C71+C72</f>
        <v>151.43999999999994</v>
      </c>
      <c r="D73" s="72">
        <f aca="true" t="shared" si="7" ref="D73:K73">D72+D71</f>
        <v>321.3600000000001</v>
      </c>
      <c r="E73" s="72">
        <f t="shared" si="7"/>
        <v>561.3199999999999</v>
      </c>
      <c r="F73" s="72">
        <f t="shared" si="7"/>
        <v>763.3199999999999</v>
      </c>
      <c r="G73" s="72">
        <f t="shared" si="7"/>
        <v>763.3199999999999</v>
      </c>
      <c r="H73" s="72">
        <f t="shared" si="7"/>
        <v>763.3199999999999</v>
      </c>
      <c r="I73" s="72">
        <f t="shared" si="7"/>
        <v>763.3199999999999</v>
      </c>
      <c r="J73" s="72">
        <f t="shared" si="7"/>
        <v>763.3199999999999</v>
      </c>
      <c r="K73" s="72">
        <f t="shared" si="7"/>
        <v>763.3199999999999</v>
      </c>
      <c r="L73" s="72">
        <f>L72+L71</f>
        <v>763.3199999999999</v>
      </c>
      <c r="M73" s="72">
        <f>M72+M71</f>
        <v>763.3199999999999</v>
      </c>
      <c r="N73" s="72">
        <f>N72+N71</f>
        <v>763.3199999999999</v>
      </c>
      <c r="O73" s="72">
        <f>O72+O71</f>
        <v>763.3199999999999</v>
      </c>
      <c r="P73" s="72">
        <f>P72+P71</f>
        <v>763.3199999999999</v>
      </c>
      <c r="Q73" s="74">
        <f>Q72+L71</f>
        <v>763.3199999999999</v>
      </c>
      <c r="R73" s="68"/>
    </row>
    <row r="74" spans="1:18" ht="11.25">
      <c r="A74" s="74" t="s">
        <v>113</v>
      </c>
      <c r="B74" s="72"/>
      <c r="C74" s="72">
        <f>C73+B73</f>
        <v>-565.14</v>
      </c>
      <c r="D74" s="72">
        <f>B73+C73+D73</f>
        <v>-243.77999999999986</v>
      </c>
      <c r="E74" s="72">
        <f>E73+D73+C73+B73</f>
        <v>317.53999999999996</v>
      </c>
      <c r="F74" s="72">
        <f>F73+E73+D73+C73+B73</f>
        <v>1080.8600000000001</v>
      </c>
      <c r="G74" s="72">
        <f>G73+F73+E73+D73+C73+B73</f>
        <v>1844.1800000000003</v>
      </c>
      <c r="H74" s="72">
        <f>H73+G73+F73+E73+D73+C73+B73</f>
        <v>2607.5</v>
      </c>
      <c r="I74" s="72">
        <f aca="true" t="shared" si="8" ref="I74:P74">I73+H73+G73+F73+E73+D73+C73+B73</f>
        <v>3370.8199999999997</v>
      </c>
      <c r="J74" s="72">
        <f t="shared" si="8"/>
        <v>4850.719999999998</v>
      </c>
      <c r="K74" s="72">
        <f t="shared" si="8"/>
        <v>5462.5999999999985</v>
      </c>
      <c r="L74" s="72">
        <f t="shared" si="8"/>
        <v>5904.559999999999</v>
      </c>
      <c r="M74" s="72">
        <f t="shared" si="8"/>
        <v>6106.559999999999</v>
      </c>
      <c r="N74" s="72">
        <f t="shared" si="8"/>
        <v>6106.559999999999</v>
      </c>
      <c r="O74" s="72">
        <f t="shared" si="8"/>
        <v>6106.559999999999</v>
      </c>
      <c r="P74" s="72">
        <f t="shared" si="8"/>
        <v>6106.559999999999</v>
      </c>
      <c r="Q74" s="74">
        <f>Q73+K73+J73+I73+H73+G73+F73+E73</f>
        <v>5904.559999999999</v>
      </c>
      <c r="R74" s="68"/>
    </row>
    <row r="75" spans="1:18" ht="11.25">
      <c r="A75" s="74" t="s">
        <v>55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3"/>
      <c r="N75" s="73"/>
      <c r="O75" s="72"/>
      <c r="P75" s="72"/>
      <c r="Q75" s="74">
        <f>NPV(6%,B73:K73)</f>
        <v>3146.317492595217</v>
      </c>
      <c r="R75" s="68"/>
    </row>
    <row r="76" spans="1:18" ht="11.25">
      <c r="A76" s="106" t="s">
        <v>56</v>
      </c>
      <c r="B76" s="63"/>
      <c r="C76" s="63"/>
      <c r="D76" s="63"/>
      <c r="E76" s="63"/>
      <c r="F76" s="63"/>
      <c r="G76" s="63"/>
      <c r="H76" s="63"/>
      <c r="I76" s="98"/>
      <c r="J76" s="98"/>
      <c r="K76" s="100"/>
      <c r="L76" s="63"/>
      <c r="M76" s="69"/>
      <c r="N76" s="69"/>
      <c r="O76" s="63"/>
      <c r="P76" s="63"/>
      <c r="Q76" s="70">
        <f>IRR(B73:K73,6%)</f>
        <v>0.5567253279996947</v>
      </c>
      <c r="R76" s="68"/>
    </row>
    <row r="77" spans="1:18" ht="12" thickBot="1">
      <c r="A77" s="107" t="s">
        <v>57</v>
      </c>
      <c r="B77" s="102"/>
      <c r="C77" s="103"/>
      <c r="D77" s="103"/>
      <c r="E77" s="103"/>
      <c r="F77" s="103"/>
      <c r="G77" s="103"/>
      <c r="H77" s="103"/>
      <c r="I77" s="99"/>
      <c r="J77" s="104"/>
      <c r="K77" s="101"/>
      <c r="L77" s="101"/>
      <c r="M77" s="101"/>
      <c r="N77" s="101"/>
      <c r="O77" s="101"/>
      <c r="P77" s="101"/>
      <c r="Q77" s="71">
        <v>3</v>
      </c>
      <c r="R77" s="68"/>
    </row>
    <row r="78" ht="11.25">
      <c r="A78" s="63" t="s">
        <v>124</v>
      </c>
    </row>
  </sheetData>
  <sheetProtection/>
  <mergeCells count="7">
    <mergeCell ref="J48:R48"/>
    <mergeCell ref="B14:J14"/>
    <mergeCell ref="A12:I12"/>
    <mergeCell ref="B57:J57"/>
    <mergeCell ref="A46:I46"/>
    <mergeCell ref="A47:I47"/>
    <mergeCell ref="A48:I48"/>
  </mergeCells>
  <printOptions/>
  <pageMargins left="0.7874015748031497" right="0.1968503937007874" top="0.5905511811023623" bottom="0.7874015748031497" header="0.35433070866141736" footer="0.551181102362204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37.57421875" style="132" customWidth="1"/>
    <col min="2" max="2" width="18.57421875" style="147" customWidth="1"/>
    <col min="3" max="3" width="18.57421875" style="150" customWidth="1"/>
    <col min="4" max="5" width="18.57421875" style="132" customWidth="1"/>
    <col min="6" max="6" width="11.7109375" style="132" customWidth="1"/>
    <col min="7" max="7" width="11.57421875" style="132" customWidth="1"/>
    <col min="8" max="16384" width="9.140625" style="132" customWidth="1"/>
  </cols>
  <sheetData>
    <row r="1" spans="1:5" ht="15.75">
      <c r="A1" s="133"/>
      <c r="B1" s="133"/>
      <c r="C1" s="133"/>
      <c r="D1" s="133"/>
      <c r="E1" s="133"/>
    </row>
    <row r="2" spans="1:7" ht="15.75">
      <c r="A2" s="134" t="s">
        <v>148</v>
      </c>
      <c r="B2" s="135"/>
      <c r="C2" s="135"/>
      <c r="D2" s="164"/>
      <c r="E2" s="164"/>
      <c r="F2" s="164"/>
      <c r="G2" s="164"/>
    </row>
    <row r="3" spans="1:7" ht="15.75">
      <c r="A3" s="136" t="s">
        <v>37</v>
      </c>
      <c r="B3" s="137" t="s">
        <v>133</v>
      </c>
      <c r="C3" s="137" t="s">
        <v>134</v>
      </c>
      <c r="D3" s="137" t="s">
        <v>38</v>
      </c>
      <c r="E3" s="137" t="s">
        <v>150</v>
      </c>
      <c r="F3" s="165"/>
      <c r="G3" s="165"/>
    </row>
    <row r="4" spans="1:7" ht="15.75">
      <c r="A4" s="139" t="s">
        <v>136</v>
      </c>
      <c r="B4" s="140">
        <v>2.5</v>
      </c>
      <c r="C4" s="140">
        <v>2.5</v>
      </c>
      <c r="D4" s="140">
        <v>2.5</v>
      </c>
      <c r="E4" s="140">
        <v>2.5</v>
      </c>
      <c r="F4" s="138"/>
      <c r="G4" s="138"/>
    </row>
    <row r="5" spans="1:7" ht="15.75">
      <c r="A5" s="139" t="s">
        <v>135</v>
      </c>
      <c r="B5" s="140">
        <v>0.8</v>
      </c>
      <c r="C5" s="140">
        <v>0.8</v>
      </c>
      <c r="D5" s="140">
        <v>0.8</v>
      </c>
      <c r="E5" s="140">
        <v>0.8</v>
      </c>
      <c r="F5" s="138"/>
      <c r="G5" s="138"/>
    </row>
    <row r="6" spans="1:7" ht="15.75">
      <c r="A6" s="139" t="s">
        <v>137</v>
      </c>
      <c r="B6" s="140">
        <v>50.4</v>
      </c>
      <c r="C6" s="140">
        <v>126</v>
      </c>
      <c r="D6" s="140">
        <v>226.8</v>
      </c>
      <c r="E6" s="140">
        <v>378</v>
      </c>
      <c r="F6" s="138"/>
      <c r="G6" s="138"/>
    </row>
    <row r="7" spans="1:5" ht="15">
      <c r="A7" s="139" t="s">
        <v>138</v>
      </c>
      <c r="B7" s="141">
        <v>33.6</v>
      </c>
      <c r="C7" s="141">
        <v>84</v>
      </c>
      <c r="D7" s="141">
        <v>151.2</v>
      </c>
      <c r="E7" s="141">
        <v>252</v>
      </c>
    </row>
    <row r="8" spans="1:5" s="135" customFormat="1" ht="15.75">
      <c r="A8" s="139" t="s">
        <v>140</v>
      </c>
      <c r="B8" s="142">
        <f aca="true" t="shared" si="0" ref="B8:E9">B6*B4</f>
        <v>126</v>
      </c>
      <c r="C8" s="142">
        <f t="shared" si="0"/>
        <v>315</v>
      </c>
      <c r="D8" s="142">
        <f t="shared" si="0"/>
        <v>567</v>
      </c>
      <c r="E8" s="142">
        <f t="shared" si="0"/>
        <v>945</v>
      </c>
    </row>
    <row r="9" spans="1:5" s="135" customFormat="1" ht="15.75">
      <c r="A9" s="139" t="s">
        <v>139</v>
      </c>
      <c r="B9" s="142">
        <f t="shared" si="0"/>
        <v>26.880000000000003</v>
      </c>
      <c r="C9" s="142">
        <f t="shared" si="0"/>
        <v>67.2</v>
      </c>
      <c r="D9" s="142">
        <f t="shared" si="0"/>
        <v>120.96</v>
      </c>
      <c r="E9" s="142">
        <f t="shared" si="0"/>
        <v>201.60000000000002</v>
      </c>
    </row>
    <row r="10" spans="1:5" s="135" customFormat="1" ht="15.75">
      <c r="A10" s="139" t="s">
        <v>141</v>
      </c>
      <c r="B10" s="142">
        <f>SUM(B8:B9)</f>
        <v>152.88</v>
      </c>
      <c r="C10" s="142">
        <f>SUM(C8:C9)</f>
        <v>382.2</v>
      </c>
      <c r="D10" s="142">
        <f>SUM(D8:D9)</f>
        <v>687.96</v>
      </c>
      <c r="E10" s="142">
        <f>SUM(E8:E9)</f>
        <v>1146.6</v>
      </c>
    </row>
    <row r="11" spans="1:7" s="135" customFormat="1" ht="15.75">
      <c r="A11" s="139" t="s">
        <v>26</v>
      </c>
      <c r="B11" s="142">
        <v>254.53</v>
      </c>
      <c r="C11" s="142">
        <v>174.19</v>
      </c>
      <c r="D11" s="142">
        <v>377.93</v>
      </c>
      <c r="E11" s="142">
        <v>425.71</v>
      </c>
      <c r="F11" s="143"/>
      <c r="G11" s="143"/>
    </row>
    <row r="12" spans="1:7" s="135" customFormat="1" ht="15.75">
      <c r="A12" s="139" t="s">
        <v>42</v>
      </c>
      <c r="B12" s="142">
        <f>B10-B11</f>
        <v>-101.65</v>
      </c>
      <c r="C12" s="142">
        <f>C10-C11</f>
        <v>208.01</v>
      </c>
      <c r="D12" s="142">
        <f>D10-D11</f>
        <v>310.03000000000003</v>
      </c>
      <c r="E12" s="142">
        <f>E10-E11</f>
        <v>720.8899999999999</v>
      </c>
      <c r="F12" s="143"/>
      <c r="G12" s="143"/>
    </row>
    <row r="13" spans="1:5" s="135" customFormat="1" ht="15.75">
      <c r="A13" s="139" t="s">
        <v>43</v>
      </c>
      <c r="B13" s="142">
        <f>(B12/B10)*100</f>
        <v>-66.49005756148614</v>
      </c>
      <c r="C13" s="142">
        <f>(C12/C10)*100</f>
        <v>54.42438513867085</v>
      </c>
      <c r="D13" s="142">
        <f>(D12/D10)*100</f>
        <v>45.06512006512007</v>
      </c>
      <c r="E13" s="142">
        <f>(E12/E10)*100</f>
        <v>62.87196930054072</v>
      </c>
    </row>
    <row r="14" spans="1:7" ht="15.75">
      <c r="A14" s="139" t="s">
        <v>142</v>
      </c>
      <c r="B14" s="142">
        <f>114.4/50.4</f>
        <v>2.26984126984127</v>
      </c>
      <c r="C14" s="142">
        <v>0.62</v>
      </c>
      <c r="D14" s="142">
        <v>0.75</v>
      </c>
      <c r="E14" s="142">
        <v>0.51</v>
      </c>
      <c r="F14" s="144"/>
      <c r="G14" s="144"/>
    </row>
    <row r="15" spans="1:7" ht="15.75">
      <c r="A15" s="139" t="s">
        <v>143</v>
      </c>
      <c r="B15" s="142">
        <f>118.9/33.6</f>
        <v>3.5386904761904763</v>
      </c>
      <c r="C15" s="142">
        <v>0.97</v>
      </c>
      <c r="D15" s="142">
        <v>1.17</v>
      </c>
      <c r="E15" s="142">
        <v>0.79</v>
      </c>
      <c r="F15" s="144"/>
      <c r="G15" s="144"/>
    </row>
    <row r="16" spans="1:5" ht="15">
      <c r="A16" s="139" t="s">
        <v>145</v>
      </c>
      <c r="B16" s="142">
        <f aca="true" t="shared" si="1" ref="B16:E17">(B14*B6)/B4</f>
        <v>45.760000000000005</v>
      </c>
      <c r="C16" s="142">
        <f t="shared" si="1"/>
        <v>31.248</v>
      </c>
      <c r="D16" s="142">
        <f t="shared" si="1"/>
        <v>68.04</v>
      </c>
      <c r="E16" s="142">
        <f t="shared" si="1"/>
        <v>77.112</v>
      </c>
    </row>
    <row r="17" spans="1:5" ht="15">
      <c r="A17" s="139" t="s">
        <v>144</v>
      </c>
      <c r="B17" s="142">
        <f t="shared" si="1"/>
        <v>148.625</v>
      </c>
      <c r="C17" s="142">
        <f t="shared" si="1"/>
        <v>101.85</v>
      </c>
      <c r="D17" s="142">
        <f t="shared" si="1"/>
        <v>221.12999999999994</v>
      </c>
      <c r="E17" s="142">
        <f t="shared" si="1"/>
        <v>248.85</v>
      </c>
    </row>
    <row r="18" spans="1:8" ht="15.75">
      <c r="A18" s="139" t="s">
        <v>46</v>
      </c>
      <c r="B18" s="142"/>
      <c r="C18" s="142"/>
      <c r="D18" s="142"/>
      <c r="E18" s="142"/>
      <c r="F18" s="143"/>
      <c r="G18" s="143"/>
      <c r="H18" s="143"/>
    </row>
    <row r="19" spans="1:8" ht="1.5" customHeight="1">
      <c r="A19" s="145"/>
      <c r="B19" s="135"/>
      <c r="C19" s="143"/>
      <c r="D19" s="143"/>
      <c r="E19" s="143"/>
      <c r="F19" s="143"/>
      <c r="G19" s="143"/>
      <c r="H19" s="143"/>
    </row>
    <row r="20" spans="1:8" ht="15.75">
      <c r="A20" s="145"/>
      <c r="B20" s="135"/>
      <c r="C20" s="143"/>
      <c r="D20" s="143"/>
      <c r="E20" s="143"/>
      <c r="F20" s="143"/>
      <c r="G20" s="143"/>
      <c r="H20" s="143"/>
    </row>
    <row r="21" spans="1:7" ht="15.75">
      <c r="A21" s="145"/>
      <c r="B21" s="135"/>
      <c r="C21" s="143"/>
      <c r="D21" s="146"/>
      <c r="E21" s="143"/>
      <c r="F21" s="146"/>
      <c r="G21" s="143"/>
    </row>
    <row r="22" spans="1:7" ht="15.75">
      <c r="A22" s="134" t="s">
        <v>149</v>
      </c>
      <c r="B22" s="135"/>
      <c r="C22" s="143"/>
      <c r="D22" s="146"/>
      <c r="E22" s="143"/>
      <c r="F22" s="146"/>
      <c r="G22" s="143"/>
    </row>
    <row r="23" spans="1:7" ht="15.75">
      <c r="A23" s="136" t="s">
        <v>37</v>
      </c>
      <c r="B23" s="137" t="s">
        <v>133</v>
      </c>
      <c r="C23" s="137" t="s">
        <v>134</v>
      </c>
      <c r="D23" s="137" t="s">
        <v>38</v>
      </c>
      <c r="E23" s="137" t="s">
        <v>151</v>
      </c>
      <c r="F23" s="147"/>
      <c r="G23" s="143"/>
    </row>
    <row r="24" spans="1:7" ht="15.75">
      <c r="A24" s="139" t="s">
        <v>146</v>
      </c>
      <c r="B24" s="140">
        <v>3.5</v>
      </c>
      <c r="C24" s="140">
        <v>3.5</v>
      </c>
      <c r="D24" s="140">
        <v>3.5</v>
      </c>
      <c r="E24" s="140">
        <v>3.5</v>
      </c>
      <c r="F24" s="144"/>
      <c r="G24" s="144"/>
    </row>
    <row r="25" spans="1:5" ht="15">
      <c r="A25" s="139" t="s">
        <v>147</v>
      </c>
      <c r="B25" s="140">
        <v>88</v>
      </c>
      <c r="C25" s="140">
        <v>220</v>
      </c>
      <c r="D25" s="140">
        <v>397</v>
      </c>
      <c r="E25" s="140">
        <v>663</v>
      </c>
    </row>
    <row r="26" spans="1:7" ht="15">
      <c r="A26" s="139" t="s">
        <v>41</v>
      </c>
      <c r="B26" s="142">
        <f>B25*B24</f>
        <v>308</v>
      </c>
      <c r="C26" s="142">
        <f>C25*C24</f>
        <v>770</v>
      </c>
      <c r="D26" s="142">
        <f>D25*D24</f>
        <v>1389.5</v>
      </c>
      <c r="E26" s="142">
        <f>E25*E24</f>
        <v>2320.5</v>
      </c>
      <c r="F26" s="146"/>
      <c r="G26" s="146"/>
    </row>
    <row r="27" spans="1:7" ht="15">
      <c r="A27" s="139" t="s">
        <v>26</v>
      </c>
      <c r="B27" s="142">
        <v>288.08</v>
      </c>
      <c r="C27" s="142">
        <v>551.36</v>
      </c>
      <c r="D27" s="142">
        <v>943.64</v>
      </c>
      <c r="E27" s="142">
        <v>1556.68</v>
      </c>
      <c r="F27" s="146"/>
      <c r="G27" s="146"/>
    </row>
    <row r="28" spans="1:7" ht="15.75">
      <c r="A28" s="139" t="s">
        <v>42</v>
      </c>
      <c r="B28" s="142">
        <f>B26-B27</f>
        <v>19.920000000000016</v>
      </c>
      <c r="C28" s="142">
        <f>C26-C27</f>
        <v>218.64</v>
      </c>
      <c r="D28" s="142">
        <f>D26-D27</f>
        <v>445.86</v>
      </c>
      <c r="E28" s="142">
        <f>E26-E27</f>
        <v>763.8199999999999</v>
      </c>
      <c r="F28" s="144"/>
      <c r="G28" s="144"/>
    </row>
    <row r="29" spans="1:7" ht="15">
      <c r="A29" s="139" t="s">
        <v>43</v>
      </c>
      <c r="B29" s="142">
        <f>(B28/B26)*100</f>
        <v>6.4675324675324735</v>
      </c>
      <c r="C29" s="142">
        <f>(C28/C26)*100</f>
        <v>28.394805194805194</v>
      </c>
      <c r="D29" s="142">
        <f>(D28/D26)*100</f>
        <v>32.08780136739834</v>
      </c>
      <c r="E29" s="142">
        <f>(E28/E26)*100</f>
        <v>32.916181857358325</v>
      </c>
      <c r="F29" s="148"/>
      <c r="G29" s="148"/>
    </row>
    <row r="30" spans="1:7" ht="15">
      <c r="A30" s="139" t="s">
        <v>58</v>
      </c>
      <c r="B30" s="142">
        <f>B27/B25</f>
        <v>3.2736363636363635</v>
      </c>
      <c r="C30" s="142">
        <f>C27/C25</f>
        <v>2.506181818181818</v>
      </c>
      <c r="D30" s="142">
        <f>D27/D25</f>
        <v>2.376926952141058</v>
      </c>
      <c r="E30" s="142">
        <f>E27/E25</f>
        <v>2.3479336349924584</v>
      </c>
      <c r="F30" s="148"/>
      <c r="G30" s="148"/>
    </row>
    <row r="31" spans="1:7" ht="15">
      <c r="A31" s="139" t="s">
        <v>145</v>
      </c>
      <c r="B31" s="142">
        <f>B27/B24</f>
        <v>82.30857142857143</v>
      </c>
      <c r="C31" s="142">
        <f>C27/C24</f>
        <v>157.53142857142856</v>
      </c>
      <c r="D31" s="142">
        <f>D27/D24</f>
        <v>269.6114285714286</v>
      </c>
      <c r="E31" s="142">
        <f>E27/E24</f>
        <v>444.7657142857143</v>
      </c>
      <c r="F31" s="148"/>
      <c r="G31" s="148"/>
    </row>
    <row r="32" spans="1:7" ht="15">
      <c r="A32" s="139" t="s">
        <v>46</v>
      </c>
      <c r="B32" s="142"/>
      <c r="C32" s="142"/>
      <c r="D32" s="142"/>
      <c r="E32" s="142"/>
      <c r="F32" s="148"/>
      <c r="G32" s="148"/>
    </row>
    <row r="33" spans="1:7" ht="15.75">
      <c r="A33" s="149"/>
      <c r="B33" s="132"/>
      <c r="E33" s="143"/>
      <c r="F33" s="143"/>
      <c r="G33" s="143"/>
    </row>
    <row r="34" spans="1:7" ht="15.75">
      <c r="A34" s="149"/>
      <c r="B34" s="132"/>
      <c r="E34" s="148"/>
      <c r="F34" s="148"/>
      <c r="G34" s="148"/>
    </row>
    <row r="35" spans="1:7" ht="15.75">
      <c r="A35" s="149"/>
      <c r="B35" s="132"/>
      <c r="E35" s="146"/>
      <c r="F35" s="146"/>
      <c r="G35" s="146"/>
    </row>
    <row r="36" spans="1:7" ht="15.75">
      <c r="A36" s="149"/>
      <c r="B36" s="132"/>
      <c r="E36" s="146"/>
      <c r="F36" s="146"/>
      <c r="G36" s="146"/>
    </row>
    <row r="37" spans="1:7" ht="15.75">
      <c r="A37" s="149"/>
      <c r="B37" s="132"/>
      <c r="E37" s="143"/>
      <c r="F37" s="143"/>
      <c r="G37" s="143"/>
    </row>
  </sheetData>
  <sheetProtection/>
  <mergeCells count="2">
    <mergeCell ref="D2:G2"/>
    <mergeCell ref="F3:G3"/>
  </mergeCells>
  <printOptions horizontalCentered="1"/>
  <pageMargins left="1.1811023622047245" right="1.1811023622047245" top="0.5905511811023623" bottom="0.5905511811023623" header="0.275590551181102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A. Petinari</dc:creator>
  <cp:keywords/>
  <dc:description/>
  <cp:lastModifiedBy>Alexander</cp:lastModifiedBy>
  <cp:lastPrinted>2011-06-20T16:24:10Z</cp:lastPrinted>
  <dcterms:created xsi:type="dcterms:W3CDTF">1999-09-06T16:56:04Z</dcterms:created>
  <dcterms:modified xsi:type="dcterms:W3CDTF">2020-08-19T13:14:38Z</dcterms:modified>
  <cp:category/>
  <cp:version/>
  <cp:contentType/>
  <cp:contentStatus/>
</cp:coreProperties>
</file>